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1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</sheets>
  <definedNames/>
  <calcPr fullCalcOnLoad="1"/>
</workbook>
</file>

<file path=xl/sharedStrings.xml><?xml version="1.0" encoding="utf-8"?>
<sst xmlns="http://schemas.openxmlformats.org/spreadsheetml/2006/main" count="542" uniqueCount="201">
  <si>
    <t>附件1</t>
  </si>
  <si>
    <t xml:space="preserve">核定2019年建档立卡学生免学费和生活费补助资金安排表（地市合计）
</t>
  </si>
  <si>
    <t>单位：人、万元</t>
  </si>
  <si>
    <t>序号</t>
  </si>
  <si>
    <t>地区</t>
  </si>
  <si>
    <t>小学（生活费）</t>
  </si>
  <si>
    <t>初中（生活费）</t>
  </si>
  <si>
    <t>高中（生活费）</t>
  </si>
  <si>
    <t>高中（免学费）</t>
  </si>
  <si>
    <t>中职（生活费）</t>
  </si>
  <si>
    <t>大专（免学费和生活费，户籍地部分）</t>
  </si>
  <si>
    <t>大专（免学费和生活费，市属高校部分）</t>
  </si>
  <si>
    <t>应抵扣金额(粤财教[2018]30号)</t>
  </si>
  <si>
    <t>应抵扣金额(粤财教[2018]295号)</t>
  </si>
  <si>
    <t>本次实际下达资金</t>
  </si>
  <si>
    <t>待以后年度收回</t>
  </si>
  <si>
    <t>核定下达</t>
  </si>
  <si>
    <t>应抵扣</t>
  </si>
  <si>
    <t>省级资金</t>
  </si>
  <si>
    <t>中央资金</t>
  </si>
  <si>
    <t>潮州市</t>
  </si>
  <si>
    <t>潮州市市辖区</t>
  </si>
  <si>
    <t>湘桥区</t>
  </si>
  <si>
    <t>凤泉湖高新区</t>
  </si>
  <si>
    <t>潮安区</t>
  </si>
  <si>
    <t>枫溪区</t>
  </si>
  <si>
    <t>附件1.1</t>
  </si>
  <si>
    <t>2019年小学建档立卡学生生活费补助资金安排表</t>
  </si>
  <si>
    <t>2016-2017学年应发未发学生人数</t>
  </si>
  <si>
    <t>2017-2018学年应发未发学生人数</t>
  </si>
  <si>
    <t>2018年秋季学期学生人数</t>
  </si>
  <si>
    <t>以前年度应发未发学生生活费补助</t>
  </si>
  <si>
    <t>省级抵扣（2016-2017学年和2017-2018学年）</t>
  </si>
  <si>
    <t>2018-2019学年生活费补助（按户籍）</t>
  </si>
  <si>
    <t>2019-2020学年生活费补助（按户籍）</t>
  </si>
  <si>
    <t>本次应安排生活费补助资金合计</t>
  </si>
  <si>
    <t>本县学籍外县户籍</t>
  </si>
  <si>
    <t>本县学籍本县户籍</t>
  </si>
  <si>
    <t>本县户籍外县学籍</t>
  </si>
  <si>
    <t>本县户籍外省就读</t>
  </si>
  <si>
    <t>本县学籍 本县户籍</t>
  </si>
  <si>
    <t>人数</t>
  </si>
  <si>
    <t>金额</t>
  </si>
  <si>
    <t>学生流动人数差（非珠三角）</t>
  </si>
  <si>
    <t>应抵扣金额</t>
  </si>
  <si>
    <t>应补助金额</t>
  </si>
  <si>
    <t>已下达金额(粤财教[2018]30号)</t>
  </si>
  <si>
    <t>本次安排资金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</si>
  <si>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</si>
  <si>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</si>
  <si>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</si>
  <si>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</si>
  <si>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</si>
  <si>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</si>
  <si>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</si>
  <si>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</si>
  <si>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</si>
  <si>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</si>
  <si>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</si>
  <si>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</si>
  <si>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O=C+D+F+G+H+J</t>
  </si>
  <si>
    <t xml:space="preserve"> P=O*0.3*0.6；
</t>
  </si>
  <si>
    <t>Q=C+G-E-I</t>
  </si>
  <si>
    <t>R=Q*0.3*0.4</t>
  </si>
  <si>
    <t>S=L+M+N</t>
  </si>
  <si>
    <t>T=S*0.3*0.6</t>
  </si>
  <si>
    <t>U</t>
  </si>
  <si>
    <t>V=T-U</t>
  </si>
  <si>
    <t>W=L+M+N</t>
  </si>
  <si>
    <t>X=W*0.3*0.6</t>
  </si>
  <si>
    <t>Y=P+R+V+X</t>
  </si>
  <si>
    <t>Z</t>
  </si>
  <si>
    <t>AA</t>
  </si>
  <si>
    <t>潮州市小计</t>
  </si>
  <si>
    <t>市直学校小计</t>
  </si>
  <si>
    <t>市绵德小学</t>
  </si>
  <si>
    <t>市特教学校</t>
  </si>
  <si>
    <t>附件1.2</t>
  </si>
  <si>
    <t>2019年初中建档立卡学生生活费补助资金安排表</t>
  </si>
  <si>
    <t>P=O*0.3*0.6</t>
  </si>
  <si>
    <t>市金山实验学校</t>
  </si>
  <si>
    <t>市高级实验学校</t>
  </si>
  <si>
    <t>附件1.3</t>
  </si>
  <si>
    <t>2019年高中建档立卡学生生活费补助资金安排表</t>
  </si>
  <si>
    <t>本县户籍就读省属</t>
  </si>
  <si>
    <t>O</t>
  </si>
  <si>
    <t>P=C+D+F+G+H+J</t>
  </si>
  <si>
    <t>Q=P*0.3*0.6</t>
  </si>
  <si>
    <t>R=C+G-E-I</t>
  </si>
  <si>
    <t>S=R*0.3*0.4</t>
  </si>
  <si>
    <t>T=L+M+N+O</t>
  </si>
  <si>
    <t>U=T*0.3*0.6</t>
  </si>
  <si>
    <t>V</t>
  </si>
  <si>
    <t>W=U-V</t>
  </si>
  <si>
    <t>X=L+M+N+O</t>
  </si>
  <si>
    <t>Y=X*0.3*0.6</t>
  </si>
  <si>
    <t>Z=Q+S+W+Y</t>
  </si>
  <si>
    <t>AB</t>
  </si>
  <si>
    <t>市金山中学</t>
  </si>
  <si>
    <t>市高级中学</t>
  </si>
  <si>
    <t>市绵德中学</t>
  </si>
  <si>
    <t>附件1.4</t>
  </si>
  <si>
    <t>2019年高中建档立卡学生免学费补助资金安排表</t>
  </si>
  <si>
    <t>2018-2019学年免学费补助（按学籍）</t>
  </si>
  <si>
    <t>2019-2020学年免学费补助（按学籍）</t>
  </si>
  <si>
    <t>省级抵扣（2018-2019学年和2019-2020学年）</t>
  </si>
  <si>
    <t>本次应安排免学费补助资金合计</t>
  </si>
  <si>
    <t>建档立卡学生人数</t>
  </si>
  <si>
    <t>非建档立卡农村低保家庭学生人数</t>
  </si>
  <si>
    <t>非建档立卡农村特困救助供养学生人数</t>
  </si>
  <si>
    <t>就读外省非建档立卡残疾学生人数</t>
  </si>
  <si>
    <t>建档立卡人数</t>
  </si>
  <si>
    <t>非建档立卡人数</t>
  </si>
  <si>
    <t>小计</t>
  </si>
  <si>
    <t>其中：中央资金</t>
  </si>
  <si>
    <t>其中：省级资金</t>
  </si>
  <si>
    <t>AQ=C+D+F+P+Q+S</t>
  </si>
  <si>
    <t>AR=G+H+J+K+L+N+O+T+U+W+X+Y+AA+AB</t>
  </si>
  <si>
    <t>AS=(AQ+AR)*0.25*0.6；
AP=（AQ*0.25）+（AR*0.25*0.6）（珠）</t>
  </si>
  <si>
    <t>AT=C+G+K+P+T+X-E-I-M-R-V-Z；
AQ=G+K+T+X-I-M-V-Z（珠）</t>
  </si>
  <si>
    <t>AU=AT*0.25*0.4</t>
  </si>
  <si>
    <t>AV=AC+AD+AF</t>
  </si>
  <si>
    <t>AW=AH+AI+AK+AL+AM+AO+AP</t>
  </si>
  <si>
    <t>AX=(AV+AW)*0.25*0.6；
AP=(AV*0.25）+（AW*0.25*0.6）（珠）</t>
  </si>
  <si>
    <t>AY</t>
  </si>
  <si>
    <t>AZ=AX-AY</t>
  </si>
  <si>
    <t>BA=AX</t>
  </si>
  <si>
    <t>BB</t>
  </si>
  <si>
    <t>BC=BA-AX</t>
  </si>
  <si>
    <t>BD=AC+AH+AL-AE-AJ-AN；
BA=AH+AL-AJ-AN（珠）</t>
  </si>
  <si>
    <t>BE=BD*0.25*0.4*2</t>
  </si>
  <si>
    <t>省财政</t>
  </si>
  <si>
    <t>P</t>
  </si>
  <si>
    <t>Q</t>
  </si>
  <si>
    <t>R</t>
  </si>
  <si>
    <t>S</t>
  </si>
  <si>
    <t>T</t>
  </si>
  <si>
    <t>W</t>
  </si>
  <si>
    <t>X</t>
  </si>
  <si>
    <t>Y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</si>
  <si>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</si>
  <si>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</si>
  <si>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</si>
  <si>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</si>
  <si>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</si>
  <si>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</si>
  <si>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</si>
  <si>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</si>
  <si>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</si>
  <si>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</si>
  <si>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</si>
  <si>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</si>
  <si>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</si>
  <si>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</si>
  <si>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BF=AS+AU+AZ+BA+BE</t>
  </si>
  <si>
    <t>BG</t>
  </si>
  <si>
    <t>BH</t>
  </si>
  <si>
    <t>BI=BB</t>
  </si>
  <si>
    <t>附件1.5</t>
  </si>
  <si>
    <t>2019年地市中职建档立卡学生生活费补助资金安排表</t>
  </si>
  <si>
    <t>R=C+D+F+H+I+K</t>
  </si>
  <si>
    <t>S=R*0.3*0.6</t>
  </si>
  <si>
    <t>T=C+H-E-J</t>
  </si>
  <si>
    <t>U=T*0.3*0.4</t>
  </si>
  <si>
    <t>V=N+O+P+Q</t>
  </si>
  <si>
    <t>W=V*0.3*0.6</t>
  </si>
  <si>
    <t>Y=W-X</t>
  </si>
  <si>
    <t>Z=V</t>
  </si>
  <si>
    <t>AA=Z*0.3*0.6</t>
  </si>
  <si>
    <t>AB=S+U+Y+AA</t>
  </si>
  <si>
    <t>市职业技术学校</t>
  </si>
  <si>
    <t>市卫生学校</t>
  </si>
  <si>
    <t>市体育运动学校</t>
  </si>
  <si>
    <t>附件1.6</t>
  </si>
  <si>
    <t>2019年全日制专科建档立卡学生免学费和生活费补助资金安排表（户籍地部分）</t>
  </si>
  <si>
    <t>高校专科建档立卡学生人数</t>
  </si>
  <si>
    <t>以前年度应发未发学生免学费和生活费补助</t>
  </si>
  <si>
    <t>2018-2019学年生活费补助</t>
  </si>
  <si>
    <t>2018-2019学年免学费补助</t>
  </si>
  <si>
    <t>2019-2020学年免学费和生活费补助</t>
  </si>
  <si>
    <t>就读外省高校专科2016-2017学年应发未发</t>
  </si>
  <si>
    <t>就读外省高校专科2017-2018学年应发未发</t>
  </si>
  <si>
    <t>就读外省高校专科2018年秋季学期</t>
  </si>
  <si>
    <t>就读省内高校专科2016-2017学年应发未发</t>
  </si>
  <si>
    <t>就读省内高校专科2017-2018学年应发未发</t>
  </si>
  <si>
    <t>就读省内高校专科2018年秋季学期</t>
  </si>
  <si>
    <t>学生流动人数差</t>
  </si>
  <si>
    <t>I=C+D</t>
  </si>
  <si>
    <t>J=I*1.2*0.6</t>
  </si>
  <si>
    <t>K=-F-G</t>
  </si>
  <si>
    <t>L=K*1.2*0.4</t>
  </si>
  <si>
    <t>M=E+H</t>
  </si>
  <si>
    <t>N=M*0.7*0.6</t>
  </si>
  <si>
    <t>P=N-O</t>
  </si>
  <si>
    <t>Q=E</t>
  </si>
  <si>
    <t>R=Q*0.5*0.6</t>
  </si>
  <si>
    <t>T=R-S</t>
  </si>
  <si>
    <t>U=N+R</t>
  </si>
  <si>
    <t>V=-H</t>
  </si>
  <si>
    <t>W=V*0.5*0.4*2</t>
  </si>
  <si>
    <t>X=J+L+P+T+U+W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</si>
</sst>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 "/>
    <numFmt numFmtId="179" formatCode="0.0_ "/>
    <numFmt numFmtId="180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28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Border="1" applyAlignment="1" applyProtection="1">
      <alignment wrapText="1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9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vertical="center" wrapText="1"/>
      <protection/>
    </xf>
    <xf numFmtId="176" fontId="8" fillId="33" borderId="18" xfId="0" applyNumberFormat="1" applyFont="1" applyFill="1" applyBorder="1" applyAlignment="1" applyProtection="1">
      <alignment horizontal="center" vertical="center" wrapText="1"/>
      <protection/>
    </xf>
    <xf numFmtId="176" fontId="8" fillId="33" borderId="19" xfId="0" applyNumberFormat="1" applyFont="1" applyFill="1" applyBorder="1" applyAlignment="1" applyProtection="1">
      <alignment horizontal="center" vertical="center" wrapText="1"/>
      <protection/>
    </xf>
    <xf numFmtId="177" fontId="8" fillId="33" borderId="10" xfId="0" applyNumberFormat="1" applyFont="1" applyFill="1" applyBorder="1" applyAlignment="1" applyProtection="1">
      <alignment horizontal="center" vertical="center" wrapText="1"/>
      <protection/>
    </xf>
    <xf numFmtId="177" fontId="8" fillId="33" borderId="11" xfId="0" applyNumberFormat="1" applyFont="1" applyFill="1" applyBorder="1" applyAlignment="1" applyProtection="1">
      <alignment horizontal="center" vertical="center" wrapText="1"/>
      <protection/>
    </xf>
    <xf numFmtId="176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176" fontId="8" fillId="33" borderId="9" xfId="0" applyNumberFormat="1" applyFont="1" applyFill="1" applyBorder="1" applyAlignment="1" applyProtection="1">
      <alignment horizontal="center" vertical="center" wrapText="1"/>
      <protection/>
    </xf>
    <xf numFmtId="177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176" fontId="8" fillId="33" borderId="15" xfId="0" applyNumberFormat="1" applyFont="1" applyFill="1" applyBorder="1" applyAlignment="1" applyProtection="1">
      <alignment horizontal="center" vertical="center" wrapText="1"/>
      <protection/>
    </xf>
    <xf numFmtId="177" fontId="8" fillId="33" borderId="15" xfId="0" applyNumberFormat="1" applyFont="1" applyFill="1" applyBorder="1" applyAlignment="1" applyProtection="1">
      <alignment horizontal="center" vertical="center" wrapText="1"/>
      <protection/>
    </xf>
    <xf numFmtId="178" fontId="10" fillId="33" borderId="14" xfId="0" applyNumberFormat="1" applyFont="1" applyFill="1" applyBorder="1" applyAlignment="1" applyProtection="1">
      <alignment horizontal="center" vertical="center" wrapText="1"/>
      <protection/>
    </xf>
    <xf numFmtId="177" fontId="8" fillId="33" borderId="12" xfId="0" applyNumberFormat="1" applyFont="1" applyFill="1" applyBorder="1" applyAlignment="1" applyProtection="1">
      <alignment horizontal="center" vertical="center" wrapText="1"/>
      <protection/>
    </xf>
    <xf numFmtId="177" fontId="8" fillId="33" borderId="14" xfId="0" applyNumberFormat="1" applyFont="1" applyFill="1" applyBorder="1" applyAlignment="1" applyProtection="1">
      <alignment horizontal="center" vertical="center" wrapText="1"/>
      <protection/>
    </xf>
    <xf numFmtId="179" fontId="9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/>
      <protection/>
    </xf>
    <xf numFmtId="0" fontId="8" fillId="33" borderId="9" xfId="0" applyNumberFormat="1" applyFont="1" applyFill="1" applyBorder="1" applyAlignment="1" applyProtection="1">
      <alignment horizontal="center" vertical="center" wrapText="1"/>
      <protection/>
    </xf>
    <xf numFmtId="178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zoomScaleSheetLayoutView="100" workbookViewId="0" topLeftCell="A1">
      <selection activeCell="M14" sqref="M14"/>
    </sheetView>
  </sheetViews>
  <sheetFormatPr defaultColWidth="9.8515625" defaultRowHeight="30" customHeight="1"/>
  <cols>
    <col min="1" max="1" width="4.140625" style="73" customWidth="1"/>
    <col min="2" max="2" width="14.28125" style="73" customWidth="1"/>
    <col min="3" max="21" width="8.00390625" style="73" customWidth="1"/>
    <col min="22" max="16384" width="9.8515625" style="73" customWidth="1"/>
  </cols>
  <sheetData>
    <row r="1" s="73" customFormat="1" ht="42.75" customHeight="1">
      <c r="A1" s="73" t="s">
        <v>0</v>
      </c>
    </row>
    <row r="2" spans="1:21" s="73" customFormat="1" ht="49.5" customHeight="1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="73" customFormat="1" ht="30" customHeight="1">
      <c r="S3" s="73" t="s">
        <v>2</v>
      </c>
    </row>
    <row r="4" spans="1:21" s="73" customFormat="1" ht="46.5" customHeight="1">
      <c r="A4" s="76" t="s">
        <v>3</v>
      </c>
      <c r="B4" s="76" t="s">
        <v>4</v>
      </c>
      <c r="C4" s="76" t="s">
        <v>5</v>
      </c>
      <c r="D4" s="76"/>
      <c r="E4" s="76" t="s">
        <v>6</v>
      </c>
      <c r="F4" s="76"/>
      <c r="G4" s="76" t="s">
        <v>7</v>
      </c>
      <c r="H4" s="76"/>
      <c r="I4" s="76" t="s">
        <v>8</v>
      </c>
      <c r="J4" s="76"/>
      <c r="K4" s="76"/>
      <c r="L4" s="76" t="s">
        <v>9</v>
      </c>
      <c r="M4" s="76"/>
      <c r="N4" s="76" t="s">
        <v>10</v>
      </c>
      <c r="O4" s="76"/>
      <c r="P4" s="76" t="s">
        <v>11</v>
      </c>
      <c r="Q4" s="76" t="s">
        <v>12</v>
      </c>
      <c r="R4" s="76" t="s">
        <v>13</v>
      </c>
      <c r="S4" s="76" t="s">
        <v>14</v>
      </c>
      <c r="T4" s="76"/>
      <c r="U4" s="76"/>
    </row>
    <row r="5" spans="1:21" s="73" customFormat="1" ht="51" customHeight="1">
      <c r="A5" s="76"/>
      <c r="B5" s="76"/>
      <c r="C5" s="76" t="s">
        <v>15</v>
      </c>
      <c r="D5" s="76" t="s">
        <v>16</v>
      </c>
      <c r="E5" s="76" t="s">
        <v>15</v>
      </c>
      <c r="F5" s="76" t="s">
        <v>16</v>
      </c>
      <c r="G5" s="76" t="s">
        <v>15</v>
      </c>
      <c r="H5" s="76" t="s">
        <v>16</v>
      </c>
      <c r="I5" s="76" t="s">
        <v>17</v>
      </c>
      <c r="J5" s="76" t="s">
        <v>18</v>
      </c>
      <c r="K5" s="76" t="s">
        <v>19</v>
      </c>
      <c r="L5" s="76" t="s">
        <v>15</v>
      </c>
      <c r="M5" s="76" t="s">
        <v>16</v>
      </c>
      <c r="N5" s="76" t="s">
        <v>15</v>
      </c>
      <c r="O5" s="76" t="s">
        <v>16</v>
      </c>
      <c r="P5" s="76"/>
      <c r="Q5" s="76"/>
      <c r="R5" s="76"/>
      <c r="S5" s="76" t="s">
        <v>15</v>
      </c>
      <c r="T5" s="76" t="s">
        <v>18</v>
      </c>
      <c r="U5" s="76" t="s">
        <v>19</v>
      </c>
    </row>
    <row r="6" spans="1:21" s="73" customFormat="1" ht="30" customHeight="1">
      <c r="A6" s="76"/>
      <c r="B6" s="76" t="s">
        <v>20</v>
      </c>
      <c r="C6" s="76">
        <f aca="true" t="shared" si="0" ref="C6:U6">SUM(C7:C11)</f>
        <v>0</v>
      </c>
      <c r="D6" s="76">
        <f t="shared" si="0"/>
        <v>226.98</v>
      </c>
      <c r="E6" s="76">
        <f t="shared" si="0"/>
        <v>0</v>
      </c>
      <c r="F6" s="76">
        <f t="shared" si="0"/>
        <v>149.4</v>
      </c>
      <c r="G6" s="76">
        <f t="shared" si="0"/>
        <v>0</v>
      </c>
      <c r="H6" s="76">
        <f t="shared" si="0"/>
        <v>89.94</v>
      </c>
      <c r="I6" s="76">
        <f t="shared" si="0"/>
        <v>0</v>
      </c>
      <c r="J6" s="76">
        <f t="shared" si="0"/>
        <v>85.75</v>
      </c>
      <c r="K6" s="76">
        <f t="shared" si="0"/>
        <v>0</v>
      </c>
      <c r="L6" s="76">
        <f t="shared" si="0"/>
        <v>0</v>
      </c>
      <c r="M6" s="76">
        <f t="shared" si="0"/>
        <v>40.26</v>
      </c>
      <c r="N6" s="76">
        <f t="shared" si="0"/>
        <v>-0.84</v>
      </c>
      <c r="O6" s="76">
        <f t="shared" si="0"/>
        <v>128.94</v>
      </c>
      <c r="P6" s="76">
        <f t="shared" si="0"/>
        <v>0</v>
      </c>
      <c r="Q6" s="76">
        <f t="shared" si="0"/>
        <v>0</v>
      </c>
      <c r="R6" s="76">
        <f t="shared" si="0"/>
        <v>-94.66000000000001</v>
      </c>
      <c r="S6" s="76">
        <f t="shared" si="0"/>
        <v>0</v>
      </c>
      <c r="T6" s="76">
        <f t="shared" si="0"/>
        <v>625.77</v>
      </c>
      <c r="U6" s="76">
        <f t="shared" si="0"/>
        <v>0</v>
      </c>
    </row>
    <row r="7" spans="1:21" s="73" customFormat="1" ht="30" customHeight="1">
      <c r="A7" s="76">
        <v>1</v>
      </c>
      <c r="B7" s="76" t="s">
        <v>21</v>
      </c>
      <c r="C7" s="76"/>
      <c r="D7" s="76">
        <v>0</v>
      </c>
      <c r="E7" s="76"/>
      <c r="F7" s="76">
        <v>0</v>
      </c>
      <c r="G7" s="76"/>
      <c r="H7" s="76">
        <v>1.8</v>
      </c>
      <c r="I7" s="76"/>
      <c r="J7" s="76">
        <v>27.95</v>
      </c>
      <c r="K7" s="76"/>
      <c r="L7" s="76"/>
      <c r="M7" s="76">
        <v>0.9</v>
      </c>
      <c r="N7" s="76">
        <v>0</v>
      </c>
      <c r="O7" s="76"/>
      <c r="P7" s="76"/>
      <c r="Q7" s="76"/>
      <c r="R7" s="76"/>
      <c r="S7" s="76"/>
      <c r="T7" s="76">
        <f aca="true" t="shared" si="1" ref="T7:T11">C7+D7+E7+F7+G7+H7+I7+J7+L7+M7+N7+O7+P7+Q7+R7</f>
        <v>30.65</v>
      </c>
      <c r="U7" s="76"/>
    </row>
    <row r="8" spans="1:21" s="73" customFormat="1" ht="30" customHeight="1">
      <c r="A8" s="76">
        <v>2</v>
      </c>
      <c r="B8" s="76" t="s">
        <v>22</v>
      </c>
      <c r="C8" s="76"/>
      <c r="D8" s="76">
        <v>40.2</v>
      </c>
      <c r="E8" s="76"/>
      <c r="F8" s="76">
        <v>25.62</v>
      </c>
      <c r="G8" s="76"/>
      <c r="H8" s="76">
        <v>11.82</v>
      </c>
      <c r="I8" s="76"/>
      <c r="J8" s="76">
        <v>10.85</v>
      </c>
      <c r="K8" s="76"/>
      <c r="L8" s="76"/>
      <c r="M8" s="76">
        <v>7.26</v>
      </c>
      <c r="N8" s="76"/>
      <c r="O8" s="76">
        <v>11.9</v>
      </c>
      <c r="P8" s="76"/>
      <c r="Q8" s="76"/>
      <c r="R8" s="76"/>
      <c r="S8" s="76"/>
      <c r="T8" s="76">
        <f t="shared" si="1"/>
        <v>107.65000000000002</v>
      </c>
      <c r="U8" s="76"/>
    </row>
    <row r="9" spans="1:21" s="73" customFormat="1" ht="30" customHeight="1">
      <c r="A9" s="76">
        <v>3</v>
      </c>
      <c r="B9" s="76" t="s">
        <v>23</v>
      </c>
      <c r="C9" s="76"/>
      <c r="D9" s="76">
        <v>6.12</v>
      </c>
      <c r="E9" s="76"/>
      <c r="F9" s="76">
        <v>3.42</v>
      </c>
      <c r="G9" s="76"/>
      <c r="H9" s="76">
        <v>2.88</v>
      </c>
      <c r="I9" s="76"/>
      <c r="J9" s="76">
        <v>0.65</v>
      </c>
      <c r="K9" s="76"/>
      <c r="L9" s="76"/>
      <c r="M9" s="76"/>
      <c r="N9" s="76"/>
      <c r="O9" s="76"/>
      <c r="P9" s="76"/>
      <c r="Q9" s="76"/>
      <c r="R9" s="76"/>
      <c r="S9" s="76"/>
      <c r="T9" s="76">
        <f t="shared" si="1"/>
        <v>13.069999999999999</v>
      </c>
      <c r="U9" s="76"/>
    </row>
    <row r="10" spans="1:21" s="73" customFormat="1" ht="30" customHeight="1">
      <c r="A10" s="76">
        <v>4</v>
      </c>
      <c r="B10" s="76" t="s">
        <v>24</v>
      </c>
      <c r="C10" s="76"/>
      <c r="D10" s="76">
        <v>178.56</v>
      </c>
      <c r="E10" s="76"/>
      <c r="F10" s="76">
        <v>120.54</v>
      </c>
      <c r="G10" s="76"/>
      <c r="H10" s="76">
        <v>72.72</v>
      </c>
      <c r="I10" s="76"/>
      <c r="J10" s="76">
        <v>37.4</v>
      </c>
      <c r="K10" s="76"/>
      <c r="L10" s="76"/>
      <c r="M10" s="76">
        <v>31.44</v>
      </c>
      <c r="N10" s="76">
        <v>-0.84</v>
      </c>
      <c r="O10" s="76">
        <v>109.34</v>
      </c>
      <c r="P10" s="76"/>
      <c r="Q10" s="76"/>
      <c r="R10" s="76">
        <v>-86.79</v>
      </c>
      <c r="S10" s="76"/>
      <c r="T10" s="76">
        <f t="shared" si="1"/>
        <v>462.37000000000006</v>
      </c>
      <c r="U10" s="76"/>
    </row>
    <row r="11" spans="1:21" s="73" customFormat="1" ht="30" customHeight="1">
      <c r="A11" s="76">
        <v>5</v>
      </c>
      <c r="B11" s="76" t="s">
        <v>25</v>
      </c>
      <c r="C11" s="76"/>
      <c r="D11" s="76">
        <v>2.1</v>
      </c>
      <c r="E11" s="76"/>
      <c r="F11" s="76">
        <v>-0.18</v>
      </c>
      <c r="G11" s="76"/>
      <c r="H11" s="76">
        <v>0.72</v>
      </c>
      <c r="I11" s="76"/>
      <c r="J11" s="76">
        <v>8.9</v>
      </c>
      <c r="K11" s="76"/>
      <c r="L11" s="76"/>
      <c r="M11" s="76">
        <v>0.66</v>
      </c>
      <c r="N11" s="76"/>
      <c r="O11" s="76">
        <v>7.7</v>
      </c>
      <c r="P11" s="76"/>
      <c r="Q11" s="76"/>
      <c r="R11" s="76">
        <v>-7.87</v>
      </c>
      <c r="S11" s="76"/>
      <c r="T11" s="76">
        <f t="shared" si="1"/>
        <v>12.030000000000001</v>
      </c>
      <c r="U11" s="76"/>
    </row>
  </sheetData>
  <sheetProtection/>
  <mergeCells count="14">
    <mergeCell ref="A1:B1"/>
    <mergeCell ref="A2:U2"/>
    <mergeCell ref="C4:D4"/>
    <mergeCell ref="E4:F4"/>
    <mergeCell ref="G4:H4"/>
    <mergeCell ref="I4:K4"/>
    <mergeCell ref="L4:M4"/>
    <mergeCell ref="N4:O4"/>
    <mergeCell ref="S4:U4"/>
    <mergeCell ref="A4:A5"/>
    <mergeCell ref="B4:B5"/>
    <mergeCell ref="P4:P5"/>
    <mergeCell ref="Q4:Q5"/>
    <mergeCell ref="R4:R5"/>
  </mergeCells>
  <conditionalFormatting sqref="B4:B5">
    <cfRule type="expression" priority="1" dxfId="0" stopIfTrue="1">
      <formula>AND(COUNTIF($B$4:$B$5,B4)&gt;1,NOT(ISBLANK(B4)))</formula>
    </cfRule>
  </conditionalFormatting>
  <printOptions/>
  <pageMargins left="0.7513888888888889" right="0.7513888888888889" top="1" bottom="1" header="0.5" footer="0.5"/>
  <pageSetup fitToHeight="1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zoomScaleSheetLayoutView="100" workbookViewId="0" topLeftCell="A1">
      <selection activeCell="A2" sqref="A2:Z2"/>
    </sheetView>
  </sheetViews>
  <sheetFormatPr defaultColWidth="9.00390625" defaultRowHeight="15"/>
  <cols>
    <col min="1" max="1" width="13.00390625" style="15" customWidth="1"/>
    <col min="2" max="13" width="6.140625" style="15" customWidth="1"/>
    <col min="14" max="15" width="9.00390625" style="15" customWidth="1"/>
    <col min="16" max="16" width="8.00390625" style="15" customWidth="1"/>
    <col min="17" max="17" width="7.57421875" style="15" customWidth="1"/>
    <col min="18" max="18" width="7.7109375" style="15" customWidth="1"/>
    <col min="19" max="19" width="9.140625" style="15" customWidth="1"/>
    <col min="20" max="20" width="8.28125" style="15" customWidth="1"/>
    <col min="21" max="21" width="7.421875" style="15" customWidth="1"/>
    <col min="22" max="23" width="7.8515625" style="15" customWidth="1"/>
    <col min="24" max="16384" width="9.00390625" style="15" customWidth="1"/>
  </cols>
  <sheetData>
    <row r="1" s="15" customFormat="1" ht="13.5">
      <c r="A1" s="15" t="s">
        <v>26</v>
      </c>
    </row>
    <row r="2" spans="1:26" s="15" customFormat="1" ht="29.25" customHeight="1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25:26" s="15" customFormat="1" ht="23.25" customHeight="1">
      <c r="Y3" s="72" t="s">
        <v>2</v>
      </c>
      <c r="Z3" s="72"/>
    </row>
    <row r="4" spans="1:26" s="15" customFormat="1" ht="42" customHeight="1">
      <c r="A4" s="18" t="s">
        <v>4</v>
      </c>
      <c r="B4" s="19" t="s">
        <v>28</v>
      </c>
      <c r="C4" s="20"/>
      <c r="D4" s="20"/>
      <c r="E4" s="21"/>
      <c r="F4" s="19" t="s">
        <v>29</v>
      </c>
      <c r="G4" s="20"/>
      <c r="H4" s="20"/>
      <c r="I4" s="21"/>
      <c r="J4" s="19" t="s">
        <v>30</v>
      </c>
      <c r="K4" s="20"/>
      <c r="L4" s="20"/>
      <c r="M4" s="21"/>
      <c r="N4" s="19" t="s">
        <v>31</v>
      </c>
      <c r="O4" s="21"/>
      <c r="P4" s="19" t="s">
        <v>32</v>
      </c>
      <c r="Q4" s="21"/>
      <c r="R4" s="19" t="s">
        <v>33</v>
      </c>
      <c r="S4" s="20"/>
      <c r="T4" s="20"/>
      <c r="U4" s="21"/>
      <c r="V4" s="19" t="s">
        <v>34</v>
      </c>
      <c r="W4" s="21"/>
      <c r="X4" s="18" t="s">
        <v>35</v>
      </c>
      <c r="Y4" s="19" t="s">
        <v>14</v>
      </c>
      <c r="Z4" s="21"/>
    </row>
    <row r="5" spans="1:26" s="15" customFormat="1" ht="72.75" customHeight="1">
      <c r="A5" s="22"/>
      <c r="B5" s="23" t="s">
        <v>36</v>
      </c>
      <c r="C5" s="23" t="s">
        <v>37</v>
      </c>
      <c r="D5" s="23" t="s">
        <v>38</v>
      </c>
      <c r="E5" s="23" t="s">
        <v>39</v>
      </c>
      <c r="F5" s="23" t="s">
        <v>36</v>
      </c>
      <c r="G5" s="23" t="s">
        <v>37</v>
      </c>
      <c r="H5" s="23" t="s">
        <v>38</v>
      </c>
      <c r="I5" s="23" t="s">
        <v>39</v>
      </c>
      <c r="J5" s="23" t="s">
        <v>36</v>
      </c>
      <c r="K5" s="23" t="s">
        <v>40</v>
      </c>
      <c r="L5" s="23" t="s">
        <v>38</v>
      </c>
      <c r="M5" s="23" t="s">
        <v>39</v>
      </c>
      <c r="N5" s="23" t="s">
        <v>41</v>
      </c>
      <c r="O5" s="23" t="s">
        <v>42</v>
      </c>
      <c r="P5" s="23" t="s">
        <v>43</v>
      </c>
      <c r="Q5" s="23" t="s">
        <v>44</v>
      </c>
      <c r="R5" s="23" t="s">
        <v>41</v>
      </c>
      <c r="S5" s="23" t="s">
        <v>45</v>
      </c>
      <c r="T5" s="23" t="s">
        <v>46</v>
      </c>
      <c r="U5" s="23" t="s">
        <v>47</v>
      </c>
      <c r="V5" s="23" t="s">
        <v>41</v>
      </c>
      <c r="W5" s="23" t="s">
        <v>42</v>
      </c>
      <c r="X5" s="24"/>
      <c r="Y5" s="23" t="s">
        <v>15</v>
      </c>
      <c r="Z5" s="23" t="s">
        <v>16</v>
      </c>
    </row>
    <row r="6" spans="1:26" s="15" customFormat="1" ht="30" customHeight="1">
      <c r="A6" s="24"/>
      <c r="B6" s="23" t="s">
        <v>48</v>
      </c>
      <c r="C6" s="23" t="s">
        <v>49</v>
      </c>
      <c r="D6" s="23" t="s">
        <v>50</v>
      </c>
      <c r="E6" s="23" t="s">
        <v>51</v>
      </c>
      <c r="F6" s="23" t="s">
        <v>52</v>
      </c>
      <c r="G6" s="23" t="s">
        <v>53</v>
      </c>
      <c r="H6" s="23" t="s">
        <v>54</v>
      </c>
      <c r="I6" s="23" t="s">
        <v>55</v>
      </c>
      <c r="J6" s="23" t="s">
        <v>56</v>
      </c>
      <c r="K6" s="23" t="s">
        <v>57</v>
      </c>
      <c r="L6" s="23" t="s">
        <v>58</v>
      </c>
      <c r="M6" s="23" t="s">
        <v>59</v>
      </c>
      <c r="N6" s="23" t="s">
        <v>60</v>
      </c>
      <c r="O6" s="23" t="s">
        <v>61</v>
      </c>
      <c r="P6" s="23" t="s">
        <v>62</v>
      </c>
      <c r="Q6" s="23" t="s">
        <v>63</v>
      </c>
      <c r="R6" s="23" t="s">
        <v>64</v>
      </c>
      <c r="S6" s="23" t="s">
        <v>65</v>
      </c>
      <c r="T6" s="23" t="s">
        <v>66</v>
      </c>
      <c r="U6" s="23" t="s">
        <v>67</v>
      </c>
      <c r="V6" s="23" t="s">
        <v>68</v>
      </c>
      <c r="W6" s="23" t="s">
        <v>69</v>
      </c>
      <c r="X6" s="23" t="s">
        <v>70</v>
      </c>
      <c r="Y6" s="23" t="s">
        <v>71</v>
      </c>
      <c r="Z6" s="23" t="s">
        <v>72</v>
      </c>
    </row>
    <row r="7" spans="1:26" s="14" customFormat="1" ht="30" customHeight="1">
      <c r="A7" s="25" t="s">
        <v>73</v>
      </c>
      <c r="B7" s="25">
        <f aca="true" t="shared" si="0" ref="B7:Z7">B8+B11+B12+B13+B14</f>
        <v>3</v>
      </c>
      <c r="C7" s="25">
        <f t="shared" si="0"/>
        <v>-2</v>
      </c>
      <c r="D7" s="25">
        <f t="shared" si="0"/>
        <v>5</v>
      </c>
      <c r="E7" s="25">
        <f t="shared" si="0"/>
        <v>0</v>
      </c>
      <c r="F7" s="25">
        <f t="shared" si="0"/>
        <v>7</v>
      </c>
      <c r="G7" s="25">
        <f t="shared" si="0"/>
        <v>116</v>
      </c>
      <c r="H7" s="25">
        <f t="shared" si="0"/>
        <v>8</v>
      </c>
      <c r="I7" s="25">
        <f t="shared" si="0"/>
        <v>0</v>
      </c>
      <c r="J7" s="25">
        <f t="shared" si="0"/>
        <v>153</v>
      </c>
      <c r="K7" s="25">
        <f t="shared" si="0"/>
        <v>1026</v>
      </c>
      <c r="L7" s="25">
        <f t="shared" si="0"/>
        <v>107</v>
      </c>
      <c r="M7" s="25">
        <f t="shared" si="0"/>
        <v>3</v>
      </c>
      <c r="N7" s="25">
        <f t="shared" si="0"/>
        <v>124</v>
      </c>
      <c r="O7" s="25">
        <f t="shared" si="0"/>
        <v>22.319999999999997</v>
      </c>
      <c r="P7" s="25">
        <f t="shared" si="0"/>
        <v>-3</v>
      </c>
      <c r="Q7" s="25">
        <f t="shared" si="0"/>
        <v>-0.3599999999999999</v>
      </c>
      <c r="R7" s="25">
        <f t="shared" si="0"/>
        <v>1136</v>
      </c>
      <c r="S7" s="71">
        <f t="shared" si="0"/>
        <v>204.48000000000002</v>
      </c>
      <c r="T7" s="25">
        <f t="shared" si="0"/>
        <v>203.94000000000003</v>
      </c>
      <c r="U7" s="25">
        <f t="shared" si="0"/>
        <v>0.5399999999999985</v>
      </c>
      <c r="V7" s="25">
        <f t="shared" si="0"/>
        <v>1136</v>
      </c>
      <c r="W7" s="25">
        <f t="shared" si="0"/>
        <v>204.48000000000002</v>
      </c>
      <c r="X7" s="25">
        <f t="shared" si="0"/>
        <v>226.98</v>
      </c>
      <c r="Y7" s="25">
        <f t="shared" si="0"/>
        <v>0</v>
      </c>
      <c r="Z7" s="25">
        <f t="shared" si="0"/>
        <v>226.98</v>
      </c>
    </row>
    <row r="8" spans="1:26" s="15" customFormat="1" ht="30" customHeight="1">
      <c r="A8" s="67" t="s">
        <v>74</v>
      </c>
      <c r="B8" s="67">
        <f aca="true" t="shared" si="1" ref="B8:Z8">SUM(B9:B10)</f>
        <v>0</v>
      </c>
      <c r="C8" s="67">
        <f t="shared" si="1"/>
        <v>0</v>
      </c>
      <c r="D8" s="67">
        <f t="shared" si="1"/>
        <v>0</v>
      </c>
      <c r="E8" s="67">
        <f t="shared" si="1"/>
        <v>0</v>
      </c>
      <c r="F8" s="67">
        <f t="shared" si="1"/>
        <v>0</v>
      </c>
      <c r="G8" s="67">
        <f t="shared" si="1"/>
        <v>0</v>
      </c>
      <c r="H8" s="67">
        <f t="shared" si="1"/>
        <v>0</v>
      </c>
      <c r="I8" s="67">
        <f t="shared" si="1"/>
        <v>0</v>
      </c>
      <c r="J8" s="67">
        <f t="shared" si="1"/>
        <v>2</v>
      </c>
      <c r="K8" s="67">
        <f t="shared" si="1"/>
        <v>0</v>
      </c>
      <c r="L8" s="67">
        <f t="shared" si="1"/>
        <v>0</v>
      </c>
      <c r="M8" s="67">
        <f t="shared" si="1"/>
        <v>0</v>
      </c>
      <c r="N8" s="67">
        <f t="shared" si="1"/>
        <v>0</v>
      </c>
      <c r="O8" s="70">
        <f t="shared" si="1"/>
        <v>0</v>
      </c>
      <c r="P8" s="67">
        <f t="shared" si="1"/>
        <v>0</v>
      </c>
      <c r="Q8" s="70">
        <f t="shared" si="1"/>
        <v>0</v>
      </c>
      <c r="R8" s="67">
        <f t="shared" si="1"/>
        <v>0</v>
      </c>
      <c r="S8" s="70">
        <f t="shared" si="1"/>
        <v>0</v>
      </c>
      <c r="T8" s="70">
        <f t="shared" si="1"/>
        <v>0</v>
      </c>
      <c r="U8" s="70">
        <f t="shared" si="1"/>
        <v>0</v>
      </c>
      <c r="V8" s="67">
        <f t="shared" si="1"/>
        <v>0</v>
      </c>
      <c r="W8" s="70">
        <f t="shared" si="1"/>
        <v>0</v>
      </c>
      <c r="X8" s="70">
        <f t="shared" si="1"/>
        <v>0</v>
      </c>
      <c r="Y8" s="67">
        <f t="shared" si="1"/>
        <v>0</v>
      </c>
      <c r="Z8" s="70">
        <f t="shared" si="1"/>
        <v>0</v>
      </c>
    </row>
    <row r="9" spans="1:26" s="15" customFormat="1" ht="30" customHeight="1">
      <c r="A9" s="23" t="s">
        <v>75</v>
      </c>
      <c r="B9" s="23"/>
      <c r="C9" s="23"/>
      <c r="D9" s="23"/>
      <c r="E9" s="23"/>
      <c r="F9" s="23"/>
      <c r="G9" s="23"/>
      <c r="H9" s="23"/>
      <c r="I9" s="23"/>
      <c r="J9" s="23">
        <v>1</v>
      </c>
      <c r="K9" s="23"/>
      <c r="L9" s="23"/>
      <c r="M9" s="23"/>
      <c r="N9" s="23">
        <f aca="true" t="shared" si="2" ref="N9:N14">B9+C9+E9+F9+G9+I9</f>
        <v>0</v>
      </c>
      <c r="O9" s="23">
        <f aca="true" t="shared" si="3" ref="O9:O14">N9*0.3*0.6</f>
        <v>0</v>
      </c>
      <c r="P9" s="23">
        <f aca="true" t="shared" si="4" ref="P9:P14">B9+F9-D9-H9</f>
        <v>0</v>
      </c>
      <c r="Q9" s="23">
        <f aca="true" t="shared" si="5" ref="Q9:Q14">P9*0.3*0.4</f>
        <v>0</v>
      </c>
      <c r="R9" s="23">
        <f aca="true" t="shared" si="6" ref="R9:R14">K9+L9+M9</f>
        <v>0</v>
      </c>
      <c r="S9" s="23">
        <f aca="true" t="shared" si="7" ref="S9:S14">R9*0.3*0.6</f>
        <v>0</v>
      </c>
      <c r="T9" s="23"/>
      <c r="U9" s="23">
        <f aca="true" t="shared" si="8" ref="U9:U14">S9-T9</f>
        <v>0</v>
      </c>
      <c r="V9" s="23">
        <f aca="true" t="shared" si="9" ref="V9:V14">K9+L9+M9</f>
        <v>0</v>
      </c>
      <c r="W9" s="23">
        <f aca="true" t="shared" si="10" ref="W9:W14">V9*0.3*0.6</f>
        <v>0</v>
      </c>
      <c r="X9" s="23">
        <f aca="true" t="shared" si="11" ref="X9:X14">O9+Q9+U9+W9</f>
        <v>0</v>
      </c>
      <c r="Y9" s="23"/>
      <c r="Z9" s="23"/>
    </row>
    <row r="10" spans="1:26" s="15" customFormat="1" ht="30" customHeight="1">
      <c r="A10" s="23" t="s">
        <v>76</v>
      </c>
      <c r="B10" s="23"/>
      <c r="C10" s="23"/>
      <c r="D10" s="23"/>
      <c r="E10" s="23"/>
      <c r="F10" s="23"/>
      <c r="G10" s="23"/>
      <c r="H10" s="23"/>
      <c r="I10" s="23"/>
      <c r="J10" s="23">
        <v>1</v>
      </c>
      <c r="K10" s="23"/>
      <c r="L10" s="23"/>
      <c r="M10" s="23"/>
      <c r="N10" s="23">
        <f t="shared" si="2"/>
        <v>0</v>
      </c>
      <c r="O10" s="23">
        <f t="shared" si="3"/>
        <v>0</v>
      </c>
      <c r="P10" s="23">
        <f t="shared" si="4"/>
        <v>0</v>
      </c>
      <c r="Q10" s="23">
        <f t="shared" si="5"/>
        <v>0</v>
      </c>
      <c r="R10" s="23">
        <f t="shared" si="6"/>
        <v>0</v>
      </c>
      <c r="S10" s="23">
        <f t="shared" si="7"/>
        <v>0</v>
      </c>
      <c r="T10" s="23"/>
      <c r="U10" s="23">
        <f t="shared" si="8"/>
        <v>0</v>
      </c>
      <c r="V10" s="23">
        <f t="shared" si="9"/>
        <v>0</v>
      </c>
      <c r="W10" s="23">
        <f t="shared" si="10"/>
        <v>0</v>
      </c>
      <c r="X10" s="23">
        <f t="shared" si="11"/>
        <v>0</v>
      </c>
      <c r="Y10" s="23"/>
      <c r="Z10" s="23"/>
    </row>
    <row r="11" spans="1:26" s="15" customFormat="1" ht="30" customHeight="1">
      <c r="A11" s="23" t="s">
        <v>22</v>
      </c>
      <c r="B11" s="23">
        <v>2</v>
      </c>
      <c r="C11" s="23">
        <v>-2</v>
      </c>
      <c r="D11" s="23">
        <v>2</v>
      </c>
      <c r="E11" s="23"/>
      <c r="F11" s="23">
        <v>4</v>
      </c>
      <c r="G11" s="23">
        <v>27</v>
      </c>
      <c r="H11" s="23">
        <v>2</v>
      </c>
      <c r="I11" s="23"/>
      <c r="J11" s="23">
        <v>83</v>
      </c>
      <c r="K11" s="23">
        <v>158</v>
      </c>
      <c r="L11" s="23">
        <f>5+1</f>
        <v>6</v>
      </c>
      <c r="M11" s="23">
        <v>1</v>
      </c>
      <c r="N11" s="23">
        <f t="shared" si="2"/>
        <v>31</v>
      </c>
      <c r="O11" s="23">
        <f t="shared" si="3"/>
        <v>5.579999999999999</v>
      </c>
      <c r="P11" s="23">
        <f t="shared" si="4"/>
        <v>2</v>
      </c>
      <c r="Q11" s="23">
        <f t="shared" si="5"/>
        <v>0.24</v>
      </c>
      <c r="R11" s="23">
        <f t="shared" si="6"/>
        <v>165</v>
      </c>
      <c r="S11" s="23">
        <f t="shared" si="7"/>
        <v>29.7</v>
      </c>
      <c r="T11" s="23">
        <v>30.96</v>
      </c>
      <c r="U11" s="23">
        <f>S12+S11-T11</f>
        <v>4.68</v>
      </c>
      <c r="V11" s="23">
        <f t="shared" si="9"/>
        <v>165</v>
      </c>
      <c r="W11" s="23">
        <f t="shared" si="10"/>
        <v>29.7</v>
      </c>
      <c r="X11" s="23">
        <f t="shared" si="11"/>
        <v>40.2</v>
      </c>
      <c r="Y11" s="23"/>
      <c r="Z11" s="23">
        <f>X11</f>
        <v>40.2</v>
      </c>
    </row>
    <row r="12" spans="1:26" s="15" customFormat="1" ht="30" customHeight="1">
      <c r="A12" s="23" t="s">
        <v>23</v>
      </c>
      <c r="B12" s="23"/>
      <c r="C12" s="23"/>
      <c r="D12" s="23"/>
      <c r="E12" s="23"/>
      <c r="F12" s="23"/>
      <c r="G12" s="23">
        <v>1</v>
      </c>
      <c r="H12" s="23"/>
      <c r="I12" s="23"/>
      <c r="J12" s="23">
        <v>1</v>
      </c>
      <c r="K12" s="23">
        <v>25</v>
      </c>
      <c r="L12" s="23">
        <v>8</v>
      </c>
      <c r="M12" s="23"/>
      <c r="N12" s="23">
        <f t="shared" si="2"/>
        <v>1</v>
      </c>
      <c r="O12" s="23">
        <f t="shared" si="3"/>
        <v>0.18</v>
      </c>
      <c r="P12" s="23">
        <f t="shared" si="4"/>
        <v>0</v>
      </c>
      <c r="Q12" s="23">
        <f t="shared" si="5"/>
        <v>0</v>
      </c>
      <c r="R12" s="23">
        <f t="shared" si="6"/>
        <v>33</v>
      </c>
      <c r="S12" s="23">
        <f t="shared" si="7"/>
        <v>5.94</v>
      </c>
      <c r="T12" s="23">
        <v>0</v>
      </c>
      <c r="U12" s="23">
        <v>0</v>
      </c>
      <c r="V12" s="23">
        <f t="shared" si="9"/>
        <v>33</v>
      </c>
      <c r="W12" s="23">
        <f t="shared" si="10"/>
        <v>5.94</v>
      </c>
      <c r="X12" s="23">
        <f t="shared" si="11"/>
        <v>6.12</v>
      </c>
      <c r="Y12" s="23"/>
      <c r="Z12" s="23">
        <f>X12</f>
        <v>6.12</v>
      </c>
    </row>
    <row r="13" spans="1:26" s="15" customFormat="1" ht="30" customHeight="1">
      <c r="A13" s="23" t="s">
        <v>24</v>
      </c>
      <c r="B13" s="23"/>
      <c r="C13" s="23"/>
      <c r="D13" s="23">
        <v>3</v>
      </c>
      <c r="E13" s="23"/>
      <c r="F13" s="23"/>
      <c r="G13" s="23">
        <v>88</v>
      </c>
      <c r="H13" s="23">
        <v>6</v>
      </c>
      <c r="I13" s="23"/>
      <c r="J13" s="23">
        <v>27</v>
      </c>
      <c r="K13" s="23">
        <v>836</v>
      </c>
      <c r="L13" s="23">
        <f>59+22+12</f>
        <v>93</v>
      </c>
      <c r="M13" s="23">
        <v>2</v>
      </c>
      <c r="N13" s="23">
        <f t="shared" si="2"/>
        <v>88</v>
      </c>
      <c r="O13" s="23">
        <f t="shared" si="3"/>
        <v>15.839999999999998</v>
      </c>
      <c r="P13" s="23">
        <f t="shared" si="4"/>
        <v>-9</v>
      </c>
      <c r="Q13" s="23">
        <f t="shared" si="5"/>
        <v>-1.0799999999999998</v>
      </c>
      <c r="R13" s="23">
        <f t="shared" si="6"/>
        <v>931</v>
      </c>
      <c r="S13" s="23">
        <f t="shared" si="7"/>
        <v>167.58</v>
      </c>
      <c r="T13" s="23">
        <v>171.36</v>
      </c>
      <c r="U13" s="23">
        <f t="shared" si="8"/>
        <v>-3.780000000000001</v>
      </c>
      <c r="V13" s="23">
        <f t="shared" si="9"/>
        <v>931</v>
      </c>
      <c r="W13" s="23">
        <f t="shared" si="10"/>
        <v>167.58</v>
      </c>
      <c r="X13" s="23">
        <f t="shared" si="11"/>
        <v>178.56</v>
      </c>
      <c r="Y13" s="23"/>
      <c r="Z13" s="23">
        <v>178.56</v>
      </c>
    </row>
    <row r="14" spans="1:26" s="15" customFormat="1" ht="30" customHeight="1">
      <c r="A14" s="23" t="s">
        <v>25</v>
      </c>
      <c r="B14" s="23">
        <v>1</v>
      </c>
      <c r="C14" s="23"/>
      <c r="D14" s="23"/>
      <c r="E14" s="23"/>
      <c r="F14" s="23">
        <v>3</v>
      </c>
      <c r="G14" s="23"/>
      <c r="H14" s="23"/>
      <c r="I14" s="23"/>
      <c r="J14" s="23">
        <v>40</v>
      </c>
      <c r="K14" s="23">
        <v>7</v>
      </c>
      <c r="L14" s="23"/>
      <c r="M14" s="23"/>
      <c r="N14" s="23">
        <f t="shared" si="2"/>
        <v>4</v>
      </c>
      <c r="O14" s="23">
        <f t="shared" si="3"/>
        <v>0.72</v>
      </c>
      <c r="P14" s="23">
        <f t="shared" si="4"/>
        <v>4</v>
      </c>
      <c r="Q14" s="23">
        <f t="shared" si="5"/>
        <v>0.48</v>
      </c>
      <c r="R14" s="23">
        <f t="shared" si="6"/>
        <v>7</v>
      </c>
      <c r="S14" s="23">
        <f t="shared" si="7"/>
        <v>1.26</v>
      </c>
      <c r="T14" s="23">
        <v>1.62</v>
      </c>
      <c r="U14" s="23">
        <f t="shared" si="8"/>
        <v>-0.3600000000000001</v>
      </c>
      <c r="V14" s="23">
        <f t="shared" si="9"/>
        <v>7</v>
      </c>
      <c r="W14" s="23">
        <f t="shared" si="10"/>
        <v>1.26</v>
      </c>
      <c r="X14" s="23">
        <f t="shared" si="11"/>
        <v>2.0999999999999996</v>
      </c>
      <c r="Y14" s="23"/>
      <c r="Z14" s="23">
        <v>2.1</v>
      </c>
    </row>
  </sheetData>
  <sheetProtection/>
  <mergeCells count="12">
    <mergeCell ref="A2:Z2"/>
    <mergeCell ref="Y3:Z3"/>
    <mergeCell ref="B4:E4"/>
    <mergeCell ref="F4:I4"/>
    <mergeCell ref="J4:M4"/>
    <mergeCell ref="N4:O4"/>
    <mergeCell ref="P4:Q4"/>
    <mergeCell ref="R4:U4"/>
    <mergeCell ref="V4:W4"/>
    <mergeCell ref="Y4:Z4"/>
    <mergeCell ref="A4:A6"/>
    <mergeCell ref="X4:X5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zoomScaleSheetLayoutView="100" workbookViewId="0" topLeftCell="A1">
      <selection activeCell="P4" sqref="P4:Q4"/>
    </sheetView>
  </sheetViews>
  <sheetFormatPr defaultColWidth="9.00390625" defaultRowHeight="15"/>
  <cols>
    <col min="1" max="1" width="14.421875" style="15" customWidth="1"/>
    <col min="2" max="13" width="5.421875" style="15" customWidth="1"/>
    <col min="14" max="14" width="8.00390625" style="15" customWidth="1"/>
    <col min="15" max="15" width="7.57421875" style="15" customWidth="1"/>
    <col min="16" max="16" width="6.8515625" style="15" customWidth="1"/>
    <col min="17" max="17" width="6.57421875" style="15" customWidth="1"/>
    <col min="18" max="18" width="6.7109375" style="15" customWidth="1"/>
    <col min="19" max="20" width="7.57421875" style="15" customWidth="1"/>
    <col min="21" max="21" width="7.00390625" style="15" customWidth="1"/>
    <col min="22" max="16384" width="7.57421875" style="15" customWidth="1"/>
  </cols>
  <sheetData>
    <row r="1" s="15" customFormat="1" ht="13.5">
      <c r="A1" s="15" t="s">
        <v>77</v>
      </c>
    </row>
    <row r="2" spans="1:26" s="15" customFormat="1" ht="27" customHeight="1">
      <c r="A2" s="65" t="s">
        <v>78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25:26" s="15" customFormat="1" ht="14.25" customHeight="1">
      <c r="Y3" s="66" t="s">
        <v>2</v>
      </c>
      <c r="Z3" s="66"/>
    </row>
    <row r="4" spans="1:26" s="15" customFormat="1" ht="63" customHeight="1">
      <c r="A4" s="18" t="s">
        <v>4</v>
      </c>
      <c r="B4" s="19" t="s">
        <v>28</v>
      </c>
      <c r="C4" s="20"/>
      <c r="D4" s="20"/>
      <c r="E4" s="21"/>
      <c r="F4" s="19" t="s">
        <v>29</v>
      </c>
      <c r="G4" s="20"/>
      <c r="H4" s="20"/>
      <c r="I4" s="21"/>
      <c r="J4" s="19" t="s">
        <v>30</v>
      </c>
      <c r="K4" s="20"/>
      <c r="L4" s="20"/>
      <c r="M4" s="21"/>
      <c r="N4" s="19" t="s">
        <v>31</v>
      </c>
      <c r="O4" s="21"/>
      <c r="P4" s="19" t="s">
        <v>32</v>
      </c>
      <c r="Q4" s="21"/>
      <c r="R4" s="19" t="s">
        <v>33</v>
      </c>
      <c r="S4" s="20"/>
      <c r="T4" s="20"/>
      <c r="U4" s="21"/>
      <c r="V4" s="19" t="s">
        <v>34</v>
      </c>
      <c r="W4" s="21"/>
      <c r="X4" s="18" t="s">
        <v>35</v>
      </c>
      <c r="Y4" s="19" t="s">
        <v>14</v>
      </c>
      <c r="Z4" s="21"/>
    </row>
    <row r="5" spans="1:26" s="15" customFormat="1" ht="71.25" customHeight="1">
      <c r="A5" s="22"/>
      <c r="B5" s="23" t="s">
        <v>36</v>
      </c>
      <c r="C5" s="23" t="s">
        <v>37</v>
      </c>
      <c r="D5" s="23" t="s">
        <v>38</v>
      </c>
      <c r="E5" s="23" t="s">
        <v>39</v>
      </c>
      <c r="F5" s="23" t="s">
        <v>36</v>
      </c>
      <c r="G5" s="23" t="s">
        <v>37</v>
      </c>
      <c r="H5" s="23" t="s">
        <v>38</v>
      </c>
      <c r="I5" s="23" t="s">
        <v>39</v>
      </c>
      <c r="J5" s="23" t="s">
        <v>36</v>
      </c>
      <c r="K5" s="23" t="s">
        <v>40</v>
      </c>
      <c r="L5" s="23" t="s">
        <v>38</v>
      </c>
      <c r="M5" s="23" t="s">
        <v>39</v>
      </c>
      <c r="N5" s="23" t="s">
        <v>41</v>
      </c>
      <c r="O5" s="23" t="s">
        <v>42</v>
      </c>
      <c r="P5" s="23" t="s">
        <v>43</v>
      </c>
      <c r="Q5" s="23" t="s">
        <v>44</v>
      </c>
      <c r="R5" s="23" t="s">
        <v>41</v>
      </c>
      <c r="S5" s="23" t="s">
        <v>45</v>
      </c>
      <c r="T5" s="23" t="s">
        <v>46</v>
      </c>
      <c r="U5" s="23" t="s">
        <v>47</v>
      </c>
      <c r="V5" s="23" t="s">
        <v>41</v>
      </c>
      <c r="W5" s="23" t="s">
        <v>42</v>
      </c>
      <c r="X5" s="24"/>
      <c r="Y5" s="23" t="s">
        <v>15</v>
      </c>
      <c r="Z5" s="23" t="s">
        <v>16</v>
      </c>
    </row>
    <row r="6" spans="1:26" s="15" customFormat="1" ht="38.25" customHeight="1">
      <c r="A6" s="24"/>
      <c r="B6" s="23" t="s">
        <v>48</v>
      </c>
      <c r="C6" s="23" t="s">
        <v>49</v>
      </c>
      <c r="D6" s="23" t="s">
        <v>50</v>
      </c>
      <c r="E6" s="23" t="s">
        <v>51</v>
      </c>
      <c r="F6" s="23" t="s">
        <v>52</v>
      </c>
      <c r="G6" s="23" t="s">
        <v>53</v>
      </c>
      <c r="H6" s="23" t="s">
        <v>54</v>
      </c>
      <c r="I6" s="23" t="s">
        <v>55</v>
      </c>
      <c r="J6" s="23" t="s">
        <v>56</v>
      </c>
      <c r="K6" s="23" t="s">
        <v>57</v>
      </c>
      <c r="L6" s="23" t="s">
        <v>58</v>
      </c>
      <c r="M6" s="23" t="s">
        <v>59</v>
      </c>
      <c r="N6" s="23" t="s">
        <v>60</v>
      </c>
      <c r="O6" s="23" t="s">
        <v>79</v>
      </c>
      <c r="P6" s="23" t="s">
        <v>62</v>
      </c>
      <c r="Q6" s="23" t="s">
        <v>63</v>
      </c>
      <c r="R6" s="23" t="s">
        <v>64</v>
      </c>
      <c r="S6" s="23" t="s">
        <v>65</v>
      </c>
      <c r="T6" s="23" t="s">
        <v>66</v>
      </c>
      <c r="U6" s="23" t="s">
        <v>67</v>
      </c>
      <c r="V6" s="23" t="s">
        <v>68</v>
      </c>
      <c r="W6" s="23" t="s">
        <v>69</v>
      </c>
      <c r="X6" s="23" t="s">
        <v>70</v>
      </c>
      <c r="Y6" s="23" t="s">
        <v>71</v>
      </c>
      <c r="Z6" s="23" t="s">
        <v>72</v>
      </c>
    </row>
    <row r="7" spans="1:26" s="15" customFormat="1" ht="30" customHeight="1">
      <c r="A7" s="67" t="s">
        <v>73</v>
      </c>
      <c r="B7" s="67">
        <f aca="true" t="shared" si="0" ref="B7:Z7">B8+B11+B12+B13+B14</f>
        <v>1</v>
      </c>
      <c r="C7" s="67">
        <f t="shared" si="0"/>
        <v>1</v>
      </c>
      <c r="D7" s="67">
        <f t="shared" si="0"/>
        <v>2</v>
      </c>
      <c r="E7" s="67">
        <f t="shared" si="0"/>
        <v>0</v>
      </c>
      <c r="F7" s="67">
        <f t="shared" si="0"/>
        <v>5</v>
      </c>
      <c r="G7" s="67">
        <f t="shared" si="0"/>
        <v>57</v>
      </c>
      <c r="H7" s="67">
        <f t="shared" si="0"/>
        <v>7</v>
      </c>
      <c r="I7" s="67">
        <f t="shared" si="0"/>
        <v>0</v>
      </c>
      <c r="J7" s="67">
        <f t="shared" si="0"/>
        <v>68</v>
      </c>
      <c r="K7" s="67">
        <f t="shared" si="0"/>
        <v>685</v>
      </c>
      <c r="L7" s="67">
        <f t="shared" si="0"/>
        <v>64</v>
      </c>
      <c r="M7" s="67">
        <f t="shared" si="0"/>
        <v>2</v>
      </c>
      <c r="N7" s="67">
        <f t="shared" si="0"/>
        <v>64</v>
      </c>
      <c r="O7" s="67">
        <f t="shared" si="0"/>
        <v>11.519999999999998</v>
      </c>
      <c r="P7" s="67">
        <f t="shared" si="0"/>
        <v>-3</v>
      </c>
      <c r="Q7" s="67">
        <f t="shared" si="0"/>
        <v>-0.3600000000000001</v>
      </c>
      <c r="R7" s="67">
        <f t="shared" si="0"/>
        <v>751</v>
      </c>
      <c r="S7" s="67">
        <f t="shared" si="0"/>
        <v>135.17999999999998</v>
      </c>
      <c r="T7" s="67">
        <f t="shared" si="0"/>
        <v>132.12</v>
      </c>
      <c r="U7" s="67">
        <f t="shared" si="0"/>
        <v>3.059999999999983</v>
      </c>
      <c r="V7" s="67">
        <f t="shared" si="0"/>
        <v>751</v>
      </c>
      <c r="W7" s="67">
        <f t="shared" si="0"/>
        <v>135.17999999999998</v>
      </c>
      <c r="X7" s="67">
        <f t="shared" si="0"/>
        <v>149.39999999999998</v>
      </c>
      <c r="Y7" s="67">
        <f t="shared" si="0"/>
        <v>0</v>
      </c>
      <c r="Z7" s="67">
        <f t="shared" si="0"/>
        <v>149.39999999999998</v>
      </c>
    </row>
    <row r="8" spans="1:26" s="15" customFormat="1" ht="30" customHeight="1">
      <c r="A8" s="67" t="s">
        <v>74</v>
      </c>
      <c r="B8" s="67">
        <f aca="true" t="shared" si="1" ref="B8:Z8">SUM(B9:B10)</f>
        <v>0</v>
      </c>
      <c r="C8" s="67">
        <f t="shared" si="1"/>
        <v>0</v>
      </c>
      <c r="D8" s="67">
        <f t="shared" si="1"/>
        <v>0</v>
      </c>
      <c r="E8" s="67">
        <f t="shared" si="1"/>
        <v>0</v>
      </c>
      <c r="F8" s="67">
        <f t="shared" si="1"/>
        <v>0</v>
      </c>
      <c r="G8" s="67">
        <f t="shared" si="1"/>
        <v>0</v>
      </c>
      <c r="H8" s="67">
        <f t="shared" si="1"/>
        <v>0</v>
      </c>
      <c r="I8" s="67">
        <f t="shared" si="1"/>
        <v>0</v>
      </c>
      <c r="J8" s="67">
        <f t="shared" si="1"/>
        <v>3</v>
      </c>
      <c r="K8" s="67">
        <f t="shared" si="1"/>
        <v>0</v>
      </c>
      <c r="L8" s="67">
        <f t="shared" si="1"/>
        <v>0</v>
      </c>
      <c r="M8" s="67">
        <f t="shared" si="1"/>
        <v>0</v>
      </c>
      <c r="N8" s="67">
        <f t="shared" si="1"/>
        <v>0</v>
      </c>
      <c r="O8" s="67">
        <f t="shared" si="1"/>
        <v>0</v>
      </c>
      <c r="P8" s="67">
        <f t="shared" si="1"/>
        <v>0</v>
      </c>
      <c r="Q8" s="67">
        <f t="shared" si="1"/>
        <v>0</v>
      </c>
      <c r="R8" s="67">
        <f t="shared" si="1"/>
        <v>0</v>
      </c>
      <c r="S8" s="67">
        <f t="shared" si="1"/>
        <v>0</v>
      </c>
      <c r="T8" s="67">
        <f t="shared" si="1"/>
        <v>0</v>
      </c>
      <c r="U8" s="67">
        <f t="shared" si="1"/>
        <v>0</v>
      </c>
      <c r="V8" s="67">
        <f t="shared" si="1"/>
        <v>0</v>
      </c>
      <c r="W8" s="67">
        <f t="shared" si="1"/>
        <v>0</v>
      </c>
      <c r="X8" s="67">
        <f t="shared" si="1"/>
        <v>0</v>
      </c>
      <c r="Y8" s="67">
        <f t="shared" si="1"/>
        <v>0</v>
      </c>
      <c r="Z8" s="67">
        <f t="shared" si="1"/>
        <v>0</v>
      </c>
    </row>
    <row r="9" spans="1:26" s="15" customFormat="1" ht="30" customHeight="1">
      <c r="A9" s="23" t="s">
        <v>80</v>
      </c>
      <c r="B9" s="23"/>
      <c r="C9" s="23"/>
      <c r="D9" s="23"/>
      <c r="E9" s="23"/>
      <c r="F9" s="23"/>
      <c r="G9" s="23"/>
      <c r="H9" s="23"/>
      <c r="I9" s="23"/>
      <c r="J9" s="23">
        <v>1</v>
      </c>
      <c r="K9" s="23"/>
      <c r="L9" s="23"/>
      <c r="M9" s="23"/>
      <c r="N9" s="23">
        <f aca="true" t="shared" si="2" ref="N9:N14">B9+C9+E9+F9+G9+I9</f>
        <v>0</v>
      </c>
      <c r="O9" s="23">
        <f aca="true" t="shared" si="3" ref="O9:O14">N9*0.3*0.6</f>
        <v>0</v>
      </c>
      <c r="P9" s="23">
        <f aca="true" t="shared" si="4" ref="P9:P14">B9+F9-D9-H9</f>
        <v>0</v>
      </c>
      <c r="Q9" s="23">
        <f aca="true" t="shared" si="5" ref="Q9:Q14">P9*0.3*0.4</f>
        <v>0</v>
      </c>
      <c r="R9" s="23">
        <f aca="true" t="shared" si="6" ref="R9:R14">K9+L9+M9</f>
        <v>0</v>
      </c>
      <c r="S9" s="23">
        <f aca="true" t="shared" si="7" ref="S9:S14">R9*0.3*0.6</f>
        <v>0</v>
      </c>
      <c r="T9" s="23"/>
      <c r="U9" s="23">
        <f aca="true" t="shared" si="8" ref="U9:U14">S9-T9</f>
        <v>0</v>
      </c>
      <c r="V9" s="23">
        <f aca="true" t="shared" si="9" ref="V9:V14">K9+L9+M9</f>
        <v>0</v>
      </c>
      <c r="W9" s="23">
        <f aca="true" t="shared" si="10" ref="W9:W14">V9*0.3*0.6</f>
        <v>0</v>
      </c>
      <c r="X9" s="23">
        <f aca="true" t="shared" si="11" ref="X9:X14">O9+Q9+U9+W9</f>
        <v>0</v>
      </c>
      <c r="Y9" s="23"/>
      <c r="Z9" s="23">
        <f aca="true" t="shared" si="12" ref="Z9:Z12">X9</f>
        <v>0</v>
      </c>
    </row>
    <row r="10" spans="1:26" s="15" customFormat="1" ht="30" customHeight="1">
      <c r="A10" s="23" t="s">
        <v>81</v>
      </c>
      <c r="B10" s="23"/>
      <c r="C10" s="23"/>
      <c r="D10" s="23"/>
      <c r="E10" s="23"/>
      <c r="F10" s="23"/>
      <c r="G10" s="23"/>
      <c r="H10" s="23"/>
      <c r="I10" s="23"/>
      <c r="J10" s="23">
        <v>2</v>
      </c>
      <c r="K10" s="23"/>
      <c r="L10" s="23"/>
      <c r="M10" s="23"/>
      <c r="N10" s="23">
        <f t="shared" si="2"/>
        <v>0</v>
      </c>
      <c r="O10" s="23">
        <f t="shared" si="3"/>
        <v>0</v>
      </c>
      <c r="P10" s="23">
        <f t="shared" si="4"/>
        <v>0</v>
      </c>
      <c r="Q10" s="23">
        <f t="shared" si="5"/>
        <v>0</v>
      </c>
      <c r="R10" s="23">
        <f t="shared" si="6"/>
        <v>0</v>
      </c>
      <c r="S10" s="23">
        <f t="shared" si="7"/>
        <v>0</v>
      </c>
      <c r="T10" s="23"/>
      <c r="U10" s="23">
        <f t="shared" si="8"/>
        <v>0</v>
      </c>
      <c r="V10" s="23">
        <f t="shared" si="9"/>
        <v>0</v>
      </c>
      <c r="W10" s="23">
        <f t="shared" si="10"/>
        <v>0</v>
      </c>
      <c r="X10" s="23">
        <f t="shared" si="11"/>
        <v>0</v>
      </c>
      <c r="Y10" s="23"/>
      <c r="Z10" s="23">
        <f t="shared" si="12"/>
        <v>0</v>
      </c>
    </row>
    <row r="11" spans="1:26" s="15" customFormat="1" ht="30" customHeight="1">
      <c r="A11" s="68" t="s">
        <v>22</v>
      </c>
      <c r="B11" s="68">
        <v>1</v>
      </c>
      <c r="C11" s="68"/>
      <c r="D11" s="68">
        <f>0+1</f>
        <v>1</v>
      </c>
      <c r="E11" s="68"/>
      <c r="F11" s="68">
        <v>4</v>
      </c>
      <c r="G11" s="68">
        <v>15</v>
      </c>
      <c r="H11" s="68">
        <v>2</v>
      </c>
      <c r="I11" s="68"/>
      <c r="J11" s="68">
        <v>38</v>
      </c>
      <c r="K11" s="68">
        <v>86</v>
      </c>
      <c r="L11" s="68">
        <f>7+2+1</f>
        <v>10</v>
      </c>
      <c r="M11" s="68">
        <v>1</v>
      </c>
      <c r="N11" s="23">
        <f t="shared" si="2"/>
        <v>20</v>
      </c>
      <c r="O11" s="23">
        <f t="shared" si="3"/>
        <v>3.5999999999999996</v>
      </c>
      <c r="P11" s="23">
        <f t="shared" si="4"/>
        <v>2</v>
      </c>
      <c r="Q11" s="23">
        <f t="shared" si="5"/>
        <v>0.24</v>
      </c>
      <c r="R11" s="23">
        <f t="shared" si="6"/>
        <v>97</v>
      </c>
      <c r="S11" s="23">
        <f t="shared" si="7"/>
        <v>17.459999999999997</v>
      </c>
      <c r="T11" s="23">
        <v>16.2</v>
      </c>
      <c r="U11" s="23">
        <f>S12+S11-T11</f>
        <v>4.319999999999997</v>
      </c>
      <c r="V11" s="23">
        <f t="shared" si="9"/>
        <v>97</v>
      </c>
      <c r="W11" s="23">
        <f t="shared" si="10"/>
        <v>17.459999999999997</v>
      </c>
      <c r="X11" s="23">
        <f t="shared" si="11"/>
        <v>25.619999999999994</v>
      </c>
      <c r="Y11" s="23"/>
      <c r="Z11" s="23">
        <f t="shared" si="12"/>
        <v>25.619999999999994</v>
      </c>
    </row>
    <row r="12" spans="1:26" s="15" customFormat="1" ht="30" customHeight="1">
      <c r="A12" s="23" t="s">
        <v>23</v>
      </c>
      <c r="B12" s="23"/>
      <c r="C12" s="23">
        <v>1</v>
      </c>
      <c r="D12" s="23"/>
      <c r="E12" s="23"/>
      <c r="F12" s="23"/>
      <c r="G12" s="23">
        <v>1</v>
      </c>
      <c r="H12" s="23"/>
      <c r="I12" s="23"/>
      <c r="J12" s="23">
        <v>1</v>
      </c>
      <c r="K12" s="23">
        <v>15</v>
      </c>
      <c r="L12" s="23">
        <v>2</v>
      </c>
      <c r="M12" s="23"/>
      <c r="N12" s="23">
        <f t="shared" si="2"/>
        <v>2</v>
      </c>
      <c r="O12" s="23">
        <f t="shared" si="3"/>
        <v>0.36</v>
      </c>
      <c r="P12" s="23">
        <f t="shared" si="4"/>
        <v>0</v>
      </c>
      <c r="Q12" s="23">
        <f t="shared" si="5"/>
        <v>0</v>
      </c>
      <c r="R12" s="23">
        <f t="shared" si="6"/>
        <v>17</v>
      </c>
      <c r="S12" s="23">
        <f t="shared" si="7"/>
        <v>3.0599999999999996</v>
      </c>
      <c r="T12" s="23">
        <v>0</v>
      </c>
      <c r="U12" s="23">
        <v>0</v>
      </c>
      <c r="V12" s="23">
        <f t="shared" si="9"/>
        <v>17</v>
      </c>
      <c r="W12" s="23">
        <f t="shared" si="10"/>
        <v>3.0599999999999996</v>
      </c>
      <c r="X12" s="23">
        <f t="shared" si="11"/>
        <v>3.4199999999999995</v>
      </c>
      <c r="Y12" s="23"/>
      <c r="Z12" s="23">
        <f t="shared" si="12"/>
        <v>3.4199999999999995</v>
      </c>
    </row>
    <row r="13" spans="1:26" s="15" customFormat="1" ht="30" customHeight="1">
      <c r="A13" s="23" t="s">
        <v>24</v>
      </c>
      <c r="B13" s="23"/>
      <c r="C13" s="23"/>
      <c r="D13" s="23">
        <v>1</v>
      </c>
      <c r="E13" s="23"/>
      <c r="F13" s="23"/>
      <c r="G13" s="23">
        <v>41</v>
      </c>
      <c r="H13" s="23">
        <v>4</v>
      </c>
      <c r="I13" s="23"/>
      <c r="J13" s="23">
        <v>7</v>
      </c>
      <c r="K13" s="23">
        <v>581</v>
      </c>
      <c r="L13" s="23">
        <f>43+9</f>
        <v>52</v>
      </c>
      <c r="M13" s="23">
        <v>1</v>
      </c>
      <c r="N13" s="23">
        <f t="shared" si="2"/>
        <v>41</v>
      </c>
      <c r="O13" s="23">
        <f t="shared" si="3"/>
        <v>7.379999999999999</v>
      </c>
      <c r="P13" s="23">
        <f t="shared" si="4"/>
        <v>-5</v>
      </c>
      <c r="Q13" s="23">
        <f t="shared" si="5"/>
        <v>-0.6000000000000001</v>
      </c>
      <c r="R13" s="23">
        <f t="shared" si="6"/>
        <v>634</v>
      </c>
      <c r="S13" s="23">
        <f t="shared" si="7"/>
        <v>114.11999999999999</v>
      </c>
      <c r="T13" s="23">
        <v>114.48</v>
      </c>
      <c r="U13" s="23">
        <f t="shared" si="8"/>
        <v>-0.36000000000001364</v>
      </c>
      <c r="V13" s="23">
        <f t="shared" si="9"/>
        <v>634</v>
      </c>
      <c r="W13" s="23">
        <f t="shared" si="10"/>
        <v>114.11999999999999</v>
      </c>
      <c r="X13" s="23">
        <f t="shared" si="11"/>
        <v>120.53999999999998</v>
      </c>
      <c r="Y13" s="23"/>
      <c r="Z13" s="23">
        <v>120.54</v>
      </c>
    </row>
    <row r="14" spans="1:26" s="15" customFormat="1" ht="30" customHeight="1">
      <c r="A14" s="23" t="s">
        <v>25</v>
      </c>
      <c r="B14" s="23"/>
      <c r="C14" s="23"/>
      <c r="D14" s="23"/>
      <c r="E14" s="23"/>
      <c r="F14" s="23">
        <v>1</v>
      </c>
      <c r="G14" s="23"/>
      <c r="H14" s="23">
        <v>1</v>
      </c>
      <c r="I14" s="23"/>
      <c r="J14" s="23">
        <v>19</v>
      </c>
      <c r="K14" s="23">
        <v>3</v>
      </c>
      <c r="L14" s="23"/>
      <c r="M14" s="23"/>
      <c r="N14" s="23">
        <f t="shared" si="2"/>
        <v>1</v>
      </c>
      <c r="O14" s="23">
        <f t="shared" si="3"/>
        <v>0.18</v>
      </c>
      <c r="P14" s="23">
        <f t="shared" si="4"/>
        <v>0</v>
      </c>
      <c r="Q14" s="23">
        <f t="shared" si="5"/>
        <v>0</v>
      </c>
      <c r="R14" s="23">
        <f t="shared" si="6"/>
        <v>3</v>
      </c>
      <c r="S14" s="23">
        <f t="shared" si="7"/>
        <v>0.5399999999999999</v>
      </c>
      <c r="T14" s="23">
        <v>1.44</v>
      </c>
      <c r="U14" s="23">
        <f t="shared" si="8"/>
        <v>-0.9</v>
      </c>
      <c r="V14" s="23">
        <f t="shared" si="9"/>
        <v>3</v>
      </c>
      <c r="W14" s="23">
        <f t="shared" si="10"/>
        <v>0.5399999999999999</v>
      </c>
      <c r="X14" s="23">
        <f t="shared" si="11"/>
        <v>-0.18000000000000005</v>
      </c>
      <c r="Y14" s="23"/>
      <c r="Z14" s="23">
        <v>-0.18</v>
      </c>
    </row>
  </sheetData>
  <sheetProtection/>
  <mergeCells count="12">
    <mergeCell ref="A2:Z2"/>
    <mergeCell ref="Y3:Z3"/>
    <mergeCell ref="B4:E4"/>
    <mergeCell ref="F4:I4"/>
    <mergeCell ref="J4:M4"/>
    <mergeCell ref="N4:O4"/>
    <mergeCell ref="P4:Q4"/>
    <mergeCell ref="R4:U4"/>
    <mergeCell ref="V4:W4"/>
    <mergeCell ref="Y4:Z4"/>
    <mergeCell ref="A4:A6"/>
    <mergeCell ref="X4:X5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zoomScaleSheetLayoutView="100" workbookViewId="0" topLeftCell="A1">
      <selection activeCell="B6" sqref="A6:IV6"/>
    </sheetView>
  </sheetViews>
  <sheetFormatPr defaultColWidth="9.00390625" defaultRowHeight="15"/>
  <cols>
    <col min="1" max="1" width="12.7109375" style="15" customWidth="1"/>
    <col min="2" max="14" width="4.8515625" style="15" customWidth="1"/>
    <col min="15" max="15" width="7.8515625" style="15" customWidth="1"/>
    <col min="16" max="16" width="8.00390625" style="15" customWidth="1"/>
    <col min="17" max="17" width="7.00390625" style="15" customWidth="1"/>
    <col min="18" max="18" width="7.421875" style="15" customWidth="1"/>
    <col min="19" max="22" width="8.57421875" style="15" customWidth="1"/>
    <col min="23" max="16384" width="9.00390625" style="15" customWidth="1"/>
  </cols>
  <sheetData>
    <row r="1" s="15" customFormat="1" ht="13.5">
      <c r="A1" s="15" t="s">
        <v>82</v>
      </c>
    </row>
    <row r="2" spans="1:27" s="15" customFormat="1" ht="27" customHeight="1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26:27" s="15" customFormat="1" ht="27" customHeight="1">
      <c r="Z3" s="66" t="s">
        <v>2</v>
      </c>
      <c r="AA3" s="66"/>
    </row>
    <row r="4" spans="1:27" s="15" customFormat="1" ht="66" customHeight="1">
      <c r="A4" s="18" t="s">
        <v>4</v>
      </c>
      <c r="B4" s="19" t="s">
        <v>28</v>
      </c>
      <c r="C4" s="20"/>
      <c r="D4" s="20"/>
      <c r="E4" s="21"/>
      <c r="F4" s="19" t="s">
        <v>29</v>
      </c>
      <c r="G4" s="20"/>
      <c r="H4" s="20"/>
      <c r="I4" s="21"/>
      <c r="J4" s="19" t="s">
        <v>30</v>
      </c>
      <c r="K4" s="20"/>
      <c r="L4" s="20"/>
      <c r="M4" s="20"/>
      <c r="N4" s="21"/>
      <c r="O4" s="19" t="s">
        <v>31</v>
      </c>
      <c r="P4" s="21"/>
      <c r="Q4" s="19" t="s">
        <v>32</v>
      </c>
      <c r="R4" s="21"/>
      <c r="S4" s="19" t="s">
        <v>33</v>
      </c>
      <c r="T4" s="20"/>
      <c r="U4" s="20"/>
      <c r="V4" s="21"/>
      <c r="W4" s="19" t="s">
        <v>34</v>
      </c>
      <c r="X4" s="21"/>
      <c r="Y4" s="18" t="s">
        <v>35</v>
      </c>
      <c r="Z4" s="19" t="s">
        <v>14</v>
      </c>
      <c r="AA4" s="21"/>
    </row>
    <row r="5" spans="1:27" s="15" customFormat="1" ht="69" customHeight="1">
      <c r="A5" s="22"/>
      <c r="B5" s="23" t="s">
        <v>36</v>
      </c>
      <c r="C5" s="23" t="s">
        <v>37</v>
      </c>
      <c r="D5" s="23" t="s">
        <v>38</v>
      </c>
      <c r="E5" s="23" t="s">
        <v>39</v>
      </c>
      <c r="F5" s="23" t="s">
        <v>36</v>
      </c>
      <c r="G5" s="23" t="s">
        <v>37</v>
      </c>
      <c r="H5" s="23" t="s">
        <v>38</v>
      </c>
      <c r="I5" s="23" t="s">
        <v>39</v>
      </c>
      <c r="J5" s="23" t="s">
        <v>36</v>
      </c>
      <c r="K5" s="23" t="s">
        <v>40</v>
      </c>
      <c r="L5" s="23" t="s">
        <v>38</v>
      </c>
      <c r="M5" s="23" t="s">
        <v>39</v>
      </c>
      <c r="N5" s="23" t="s">
        <v>84</v>
      </c>
      <c r="O5" s="23" t="s">
        <v>41</v>
      </c>
      <c r="P5" s="23" t="s">
        <v>42</v>
      </c>
      <c r="Q5" s="23" t="s">
        <v>43</v>
      </c>
      <c r="R5" s="23" t="s">
        <v>44</v>
      </c>
      <c r="S5" s="23" t="s">
        <v>41</v>
      </c>
      <c r="T5" s="23" t="s">
        <v>45</v>
      </c>
      <c r="U5" s="23" t="s">
        <v>46</v>
      </c>
      <c r="V5" s="23" t="s">
        <v>47</v>
      </c>
      <c r="W5" s="23" t="s">
        <v>41</v>
      </c>
      <c r="X5" s="23" t="s">
        <v>42</v>
      </c>
      <c r="Y5" s="24"/>
      <c r="Z5" s="23" t="s">
        <v>15</v>
      </c>
      <c r="AA5" s="23" t="s">
        <v>16</v>
      </c>
    </row>
    <row r="6" spans="1:27" s="15" customFormat="1" ht="30" customHeight="1">
      <c r="A6" s="24"/>
      <c r="B6" s="23" t="s">
        <v>48</v>
      </c>
      <c r="C6" s="23" t="s">
        <v>49</v>
      </c>
      <c r="D6" s="23" t="s">
        <v>50</v>
      </c>
      <c r="E6" s="23" t="s">
        <v>51</v>
      </c>
      <c r="F6" s="23" t="s">
        <v>52</v>
      </c>
      <c r="G6" s="23" t="s">
        <v>53</v>
      </c>
      <c r="H6" s="23" t="s">
        <v>54</v>
      </c>
      <c r="I6" s="23" t="s">
        <v>55</v>
      </c>
      <c r="J6" s="23" t="s">
        <v>56</v>
      </c>
      <c r="K6" s="23" t="s">
        <v>57</v>
      </c>
      <c r="L6" s="23" t="s">
        <v>58</v>
      </c>
      <c r="M6" s="23" t="s">
        <v>59</v>
      </c>
      <c r="N6" s="23" t="s">
        <v>85</v>
      </c>
      <c r="O6" s="23" t="s">
        <v>86</v>
      </c>
      <c r="P6" s="23" t="s">
        <v>87</v>
      </c>
      <c r="Q6" s="23" t="s">
        <v>88</v>
      </c>
      <c r="R6" s="23" t="s">
        <v>89</v>
      </c>
      <c r="S6" s="23" t="s">
        <v>90</v>
      </c>
      <c r="T6" s="23" t="s">
        <v>91</v>
      </c>
      <c r="U6" s="23" t="s">
        <v>92</v>
      </c>
      <c r="V6" s="23" t="s">
        <v>93</v>
      </c>
      <c r="W6" s="23" t="s">
        <v>94</v>
      </c>
      <c r="X6" s="23" t="s">
        <v>95</v>
      </c>
      <c r="Y6" s="23" t="s">
        <v>96</v>
      </c>
      <c r="Z6" s="23" t="s">
        <v>72</v>
      </c>
      <c r="AA6" s="23" t="s">
        <v>97</v>
      </c>
    </row>
    <row r="7" spans="1:27" s="15" customFormat="1" ht="30" customHeight="1">
      <c r="A7" s="25" t="s">
        <v>73</v>
      </c>
      <c r="B7" s="25">
        <f aca="true" t="shared" si="0" ref="B7:AA7">B8+B12+B13+B14+B15</f>
        <v>1</v>
      </c>
      <c r="C7" s="25">
        <f t="shared" si="0"/>
        <v>0</v>
      </c>
      <c r="D7" s="25">
        <f t="shared" si="0"/>
        <v>0</v>
      </c>
      <c r="E7" s="25">
        <f t="shared" si="0"/>
        <v>0</v>
      </c>
      <c r="F7" s="25">
        <f t="shared" si="0"/>
        <v>4</v>
      </c>
      <c r="G7" s="25">
        <f t="shared" si="0"/>
        <v>36</v>
      </c>
      <c r="H7" s="25">
        <f t="shared" si="0"/>
        <v>4</v>
      </c>
      <c r="I7" s="25">
        <f t="shared" si="0"/>
        <v>0</v>
      </c>
      <c r="J7" s="25">
        <f t="shared" si="0"/>
        <v>110</v>
      </c>
      <c r="K7" s="25">
        <f t="shared" si="0"/>
        <v>411</v>
      </c>
      <c r="L7" s="25">
        <f t="shared" si="0"/>
        <v>96</v>
      </c>
      <c r="M7" s="25">
        <f t="shared" si="0"/>
        <v>1</v>
      </c>
      <c r="N7" s="25">
        <f t="shared" si="0"/>
        <v>0</v>
      </c>
      <c r="O7" s="25">
        <f t="shared" si="0"/>
        <v>41</v>
      </c>
      <c r="P7" s="25">
        <f t="shared" si="0"/>
        <v>7.379999999999999</v>
      </c>
      <c r="Q7" s="25">
        <f t="shared" si="0"/>
        <v>1</v>
      </c>
      <c r="R7" s="25">
        <f t="shared" si="0"/>
        <v>0.12</v>
      </c>
      <c r="S7" s="25">
        <f t="shared" si="0"/>
        <v>508</v>
      </c>
      <c r="T7" s="25">
        <f t="shared" si="0"/>
        <v>91.44000000000001</v>
      </c>
      <c r="U7" s="25">
        <f t="shared" si="0"/>
        <v>100.44000000000001</v>
      </c>
      <c r="V7" s="25">
        <f t="shared" si="0"/>
        <v>-9.000000000000004</v>
      </c>
      <c r="W7" s="25">
        <f t="shared" si="0"/>
        <v>508</v>
      </c>
      <c r="X7" s="25">
        <f t="shared" si="0"/>
        <v>91.44000000000001</v>
      </c>
      <c r="Y7" s="25">
        <f t="shared" si="0"/>
        <v>89.94</v>
      </c>
      <c r="Z7" s="25">
        <f t="shared" si="0"/>
        <v>0</v>
      </c>
      <c r="AA7" s="25">
        <f t="shared" si="0"/>
        <v>89.94</v>
      </c>
    </row>
    <row r="8" spans="1:27" s="15" customFormat="1" ht="30" customHeight="1">
      <c r="A8" s="25" t="s">
        <v>74</v>
      </c>
      <c r="B8" s="25">
        <f aca="true" t="shared" si="1" ref="B8:AA8">SUM(B9:B11)</f>
        <v>1</v>
      </c>
      <c r="C8" s="25">
        <f t="shared" si="1"/>
        <v>0</v>
      </c>
      <c r="D8" s="25">
        <f t="shared" si="1"/>
        <v>0</v>
      </c>
      <c r="E8" s="25">
        <f t="shared" si="1"/>
        <v>0</v>
      </c>
      <c r="F8" s="25">
        <f t="shared" si="1"/>
        <v>5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70</v>
      </c>
      <c r="K8" s="25">
        <f t="shared" si="1"/>
        <v>0</v>
      </c>
      <c r="L8" s="25">
        <f t="shared" si="1"/>
        <v>0</v>
      </c>
      <c r="M8" s="25">
        <f t="shared" si="1"/>
        <v>0</v>
      </c>
      <c r="N8" s="25">
        <f t="shared" si="1"/>
        <v>0</v>
      </c>
      <c r="O8" s="25">
        <f t="shared" si="1"/>
        <v>6</v>
      </c>
      <c r="P8" s="25">
        <f t="shared" si="1"/>
        <v>1.0799999999999998</v>
      </c>
      <c r="Q8" s="25">
        <f t="shared" si="1"/>
        <v>6</v>
      </c>
      <c r="R8" s="25">
        <f t="shared" si="1"/>
        <v>0.72</v>
      </c>
      <c r="S8" s="25">
        <f t="shared" si="1"/>
        <v>0</v>
      </c>
      <c r="T8" s="25">
        <f t="shared" si="1"/>
        <v>0</v>
      </c>
      <c r="U8" s="25">
        <f t="shared" si="1"/>
        <v>0</v>
      </c>
      <c r="V8" s="25">
        <f t="shared" si="1"/>
        <v>0</v>
      </c>
      <c r="W8" s="25">
        <f t="shared" si="1"/>
        <v>0</v>
      </c>
      <c r="X8" s="25">
        <f t="shared" si="1"/>
        <v>0</v>
      </c>
      <c r="Y8" s="25">
        <f t="shared" si="1"/>
        <v>1.7999999999999998</v>
      </c>
      <c r="Z8" s="25">
        <f t="shared" si="1"/>
        <v>0</v>
      </c>
      <c r="AA8" s="25">
        <f t="shared" si="1"/>
        <v>1.8</v>
      </c>
    </row>
    <row r="9" spans="1:27" s="15" customFormat="1" ht="30" customHeight="1">
      <c r="A9" s="23" t="s">
        <v>98</v>
      </c>
      <c r="B9" s="23">
        <v>1</v>
      </c>
      <c r="C9" s="23"/>
      <c r="D9" s="23"/>
      <c r="E9" s="23"/>
      <c r="F9" s="23">
        <v>2</v>
      </c>
      <c r="G9" s="23"/>
      <c r="H9" s="23"/>
      <c r="I9" s="23"/>
      <c r="J9" s="23">
        <v>24</v>
      </c>
      <c r="K9" s="23"/>
      <c r="L9" s="23"/>
      <c r="M9" s="23"/>
      <c r="N9" s="23"/>
      <c r="O9" s="23">
        <f aca="true" t="shared" si="2" ref="O9:O15">B9+C9+E9+F9+G9+I9</f>
        <v>3</v>
      </c>
      <c r="P9" s="23">
        <f aca="true" t="shared" si="3" ref="P9:P15">O9*0.3*0.6</f>
        <v>0.5399999999999999</v>
      </c>
      <c r="Q9" s="23">
        <f aca="true" t="shared" si="4" ref="Q9:Q15">B9+F9-D9-H9</f>
        <v>3</v>
      </c>
      <c r="R9" s="23">
        <f aca="true" t="shared" si="5" ref="R9:R15">Q9*0.3*0.4</f>
        <v>0.36</v>
      </c>
      <c r="S9" s="23">
        <f aca="true" t="shared" si="6" ref="S9:S15">K9+L9+M9+N9</f>
        <v>0</v>
      </c>
      <c r="T9" s="23">
        <f aca="true" t="shared" si="7" ref="T9:T15">S9*0.3*0.6</f>
        <v>0</v>
      </c>
      <c r="U9" s="23"/>
      <c r="V9" s="23">
        <f aca="true" t="shared" si="8" ref="V9:V11">T9-U9</f>
        <v>0</v>
      </c>
      <c r="W9" s="23">
        <f aca="true" t="shared" si="9" ref="W9:W15">K9+L9+M9+N9</f>
        <v>0</v>
      </c>
      <c r="X9" s="23">
        <f aca="true" t="shared" si="10" ref="X9:X15">W9*0.3*0.6</f>
        <v>0</v>
      </c>
      <c r="Y9" s="23">
        <f aca="true" t="shared" si="11" ref="Y9:Y15">P9+R9+V9+X9</f>
        <v>0.8999999999999999</v>
      </c>
      <c r="Z9" s="23"/>
      <c r="AA9" s="23">
        <v>0.9</v>
      </c>
    </row>
    <row r="10" spans="1:27" s="15" customFormat="1" ht="30" customHeight="1">
      <c r="A10" s="23" t="s">
        <v>99</v>
      </c>
      <c r="B10" s="23"/>
      <c r="C10" s="23"/>
      <c r="D10" s="23"/>
      <c r="E10" s="23"/>
      <c r="F10" s="23"/>
      <c r="G10" s="23"/>
      <c r="H10" s="23"/>
      <c r="I10" s="23"/>
      <c r="J10" s="23">
        <v>9</v>
      </c>
      <c r="K10" s="23"/>
      <c r="L10" s="23"/>
      <c r="M10" s="23"/>
      <c r="N10" s="23"/>
      <c r="O10" s="23">
        <f t="shared" si="2"/>
        <v>0</v>
      </c>
      <c r="P10" s="23">
        <f t="shared" si="3"/>
        <v>0</v>
      </c>
      <c r="Q10" s="23">
        <f t="shared" si="4"/>
        <v>0</v>
      </c>
      <c r="R10" s="23">
        <f t="shared" si="5"/>
        <v>0</v>
      </c>
      <c r="S10" s="23">
        <f t="shared" si="6"/>
        <v>0</v>
      </c>
      <c r="T10" s="23">
        <f t="shared" si="7"/>
        <v>0</v>
      </c>
      <c r="U10" s="23"/>
      <c r="V10" s="23">
        <f t="shared" si="8"/>
        <v>0</v>
      </c>
      <c r="W10" s="23">
        <f t="shared" si="9"/>
        <v>0</v>
      </c>
      <c r="X10" s="23">
        <f t="shared" si="10"/>
        <v>0</v>
      </c>
      <c r="Y10" s="23">
        <f t="shared" si="11"/>
        <v>0</v>
      </c>
      <c r="Z10" s="23"/>
      <c r="AA10" s="23">
        <v>0</v>
      </c>
    </row>
    <row r="11" spans="1:27" s="15" customFormat="1" ht="30" customHeight="1">
      <c r="A11" s="23" t="s">
        <v>100</v>
      </c>
      <c r="B11" s="23"/>
      <c r="C11" s="23"/>
      <c r="D11" s="23"/>
      <c r="E11" s="23"/>
      <c r="F11" s="23">
        <v>3</v>
      </c>
      <c r="G11" s="23"/>
      <c r="H11" s="23"/>
      <c r="I11" s="23"/>
      <c r="J11" s="23">
        <v>37</v>
      </c>
      <c r="K11" s="23"/>
      <c r="L11" s="23"/>
      <c r="M11" s="23"/>
      <c r="N11" s="23"/>
      <c r="O11" s="23">
        <f t="shared" si="2"/>
        <v>3</v>
      </c>
      <c r="P11" s="23">
        <f t="shared" si="3"/>
        <v>0.5399999999999999</v>
      </c>
      <c r="Q11" s="23">
        <f t="shared" si="4"/>
        <v>3</v>
      </c>
      <c r="R11" s="23">
        <f t="shared" si="5"/>
        <v>0.36</v>
      </c>
      <c r="S11" s="23">
        <f t="shared" si="6"/>
        <v>0</v>
      </c>
      <c r="T11" s="23">
        <f t="shared" si="7"/>
        <v>0</v>
      </c>
      <c r="U11" s="23"/>
      <c r="V11" s="23">
        <f t="shared" si="8"/>
        <v>0</v>
      </c>
      <c r="W11" s="23">
        <f t="shared" si="9"/>
        <v>0</v>
      </c>
      <c r="X11" s="23">
        <f t="shared" si="10"/>
        <v>0</v>
      </c>
      <c r="Y11" s="23">
        <f t="shared" si="11"/>
        <v>0.8999999999999999</v>
      </c>
      <c r="Z11" s="23"/>
      <c r="AA11" s="23">
        <v>0.9</v>
      </c>
    </row>
    <row r="12" spans="1:27" s="15" customFormat="1" ht="30" customHeight="1">
      <c r="A12" s="23" t="s">
        <v>22</v>
      </c>
      <c r="B12" s="23"/>
      <c r="C12" s="23"/>
      <c r="D12" s="23"/>
      <c r="E12" s="23"/>
      <c r="F12" s="23"/>
      <c r="G12" s="23">
        <v>8</v>
      </c>
      <c r="H12" s="23">
        <v>2</v>
      </c>
      <c r="I12" s="23"/>
      <c r="J12" s="23">
        <v>15</v>
      </c>
      <c r="K12" s="23">
        <v>47</v>
      </c>
      <c r="L12" s="23">
        <f>10+1</f>
        <v>11</v>
      </c>
      <c r="M12" s="23"/>
      <c r="N12" s="23"/>
      <c r="O12" s="23">
        <f t="shared" si="2"/>
        <v>8</v>
      </c>
      <c r="P12" s="23">
        <f t="shared" si="3"/>
        <v>1.44</v>
      </c>
      <c r="Q12" s="23">
        <f t="shared" si="4"/>
        <v>-2</v>
      </c>
      <c r="R12" s="23">
        <f t="shared" si="5"/>
        <v>-0.24</v>
      </c>
      <c r="S12" s="23">
        <f t="shared" si="6"/>
        <v>58</v>
      </c>
      <c r="T12" s="23">
        <f t="shared" si="7"/>
        <v>10.44</v>
      </c>
      <c r="U12" s="23">
        <v>12.96</v>
      </c>
      <c r="V12" s="23">
        <f>T13+T12-U12</f>
        <v>0.17999999999999794</v>
      </c>
      <c r="W12" s="23">
        <f t="shared" si="9"/>
        <v>58</v>
      </c>
      <c r="X12" s="23">
        <f t="shared" si="10"/>
        <v>10.44</v>
      </c>
      <c r="Y12" s="23">
        <f t="shared" si="11"/>
        <v>11.819999999999997</v>
      </c>
      <c r="Z12" s="23"/>
      <c r="AA12" s="23">
        <f>Y12</f>
        <v>11.819999999999997</v>
      </c>
    </row>
    <row r="13" spans="1:27" s="15" customFormat="1" ht="30" customHeight="1">
      <c r="A13" s="23" t="s">
        <v>23</v>
      </c>
      <c r="B13" s="23"/>
      <c r="C13" s="23"/>
      <c r="D13" s="23"/>
      <c r="E13" s="23"/>
      <c r="F13" s="23"/>
      <c r="G13" s="23">
        <v>1</v>
      </c>
      <c r="H13" s="23"/>
      <c r="I13" s="23"/>
      <c r="J13" s="23">
        <v>1</v>
      </c>
      <c r="K13" s="23">
        <v>9</v>
      </c>
      <c r="L13" s="23">
        <v>6</v>
      </c>
      <c r="M13" s="23"/>
      <c r="N13" s="23"/>
      <c r="O13" s="23">
        <f t="shared" si="2"/>
        <v>1</v>
      </c>
      <c r="P13" s="23">
        <f t="shared" si="3"/>
        <v>0.18</v>
      </c>
      <c r="Q13" s="23">
        <f t="shared" si="4"/>
        <v>0</v>
      </c>
      <c r="R13" s="23">
        <f t="shared" si="5"/>
        <v>0</v>
      </c>
      <c r="S13" s="23">
        <f t="shared" si="6"/>
        <v>15</v>
      </c>
      <c r="T13" s="23">
        <f t="shared" si="7"/>
        <v>2.6999999999999997</v>
      </c>
      <c r="U13" s="23">
        <v>0</v>
      </c>
      <c r="V13" s="23">
        <v>0</v>
      </c>
      <c r="W13" s="23">
        <f t="shared" si="9"/>
        <v>15</v>
      </c>
      <c r="X13" s="23">
        <f t="shared" si="10"/>
        <v>2.6999999999999997</v>
      </c>
      <c r="Y13" s="23">
        <f t="shared" si="11"/>
        <v>2.88</v>
      </c>
      <c r="Z13" s="23"/>
      <c r="AA13" s="23">
        <f>Y13</f>
        <v>2.88</v>
      </c>
    </row>
    <row r="14" spans="1:27" s="15" customFormat="1" ht="30" customHeight="1">
      <c r="A14" s="23" t="s">
        <v>24</v>
      </c>
      <c r="B14" s="23"/>
      <c r="C14" s="23"/>
      <c r="D14" s="23"/>
      <c r="E14" s="23"/>
      <c r="F14" s="23">
        <v>-1</v>
      </c>
      <c r="G14" s="23">
        <v>27</v>
      </c>
      <c r="H14" s="23">
        <f>1+1</f>
        <v>2</v>
      </c>
      <c r="I14" s="23"/>
      <c r="J14" s="23">
        <v>2</v>
      </c>
      <c r="K14" s="23">
        <v>351</v>
      </c>
      <c r="L14" s="23">
        <v>76</v>
      </c>
      <c r="M14" s="23">
        <v>1</v>
      </c>
      <c r="N14" s="23"/>
      <c r="O14" s="23">
        <f t="shared" si="2"/>
        <v>26</v>
      </c>
      <c r="P14" s="23">
        <f t="shared" si="3"/>
        <v>4.68</v>
      </c>
      <c r="Q14" s="23">
        <f t="shared" si="4"/>
        <v>-3</v>
      </c>
      <c r="R14" s="23">
        <f t="shared" si="5"/>
        <v>-0.36</v>
      </c>
      <c r="S14" s="23">
        <f t="shared" si="6"/>
        <v>428</v>
      </c>
      <c r="T14" s="23">
        <f t="shared" si="7"/>
        <v>77.04</v>
      </c>
      <c r="U14" s="23">
        <v>85.68</v>
      </c>
      <c r="V14" s="23">
        <f>T14-U14</f>
        <v>-8.64</v>
      </c>
      <c r="W14" s="23">
        <f t="shared" si="9"/>
        <v>428</v>
      </c>
      <c r="X14" s="23">
        <f t="shared" si="10"/>
        <v>77.04</v>
      </c>
      <c r="Y14" s="23">
        <f t="shared" si="11"/>
        <v>72.72</v>
      </c>
      <c r="Z14" s="23"/>
      <c r="AA14" s="23">
        <v>72.72</v>
      </c>
    </row>
    <row r="15" spans="1:27" s="15" customFormat="1" ht="30" customHeight="1">
      <c r="A15" s="23" t="s">
        <v>25</v>
      </c>
      <c r="B15" s="23"/>
      <c r="C15" s="23"/>
      <c r="D15" s="23"/>
      <c r="E15" s="23"/>
      <c r="F15" s="23"/>
      <c r="G15" s="23"/>
      <c r="H15" s="23"/>
      <c r="I15" s="23"/>
      <c r="J15" s="23">
        <v>22</v>
      </c>
      <c r="K15" s="23">
        <v>4</v>
      </c>
      <c r="L15" s="23">
        <v>3</v>
      </c>
      <c r="M15" s="23"/>
      <c r="N15" s="23"/>
      <c r="O15" s="23">
        <f t="shared" si="2"/>
        <v>0</v>
      </c>
      <c r="P15" s="23">
        <f t="shared" si="3"/>
        <v>0</v>
      </c>
      <c r="Q15" s="23">
        <f t="shared" si="4"/>
        <v>0</v>
      </c>
      <c r="R15" s="23">
        <f t="shared" si="5"/>
        <v>0</v>
      </c>
      <c r="S15" s="23">
        <f t="shared" si="6"/>
        <v>7</v>
      </c>
      <c r="T15" s="23">
        <f t="shared" si="7"/>
        <v>1.26</v>
      </c>
      <c r="U15" s="23">
        <v>1.8</v>
      </c>
      <c r="V15" s="23">
        <f>T15-U15</f>
        <v>-0.54</v>
      </c>
      <c r="W15" s="23">
        <f t="shared" si="9"/>
        <v>7</v>
      </c>
      <c r="X15" s="23">
        <f t="shared" si="10"/>
        <v>1.26</v>
      </c>
      <c r="Y15" s="23">
        <f t="shared" si="11"/>
        <v>0.72</v>
      </c>
      <c r="Z15" s="23"/>
      <c r="AA15" s="23">
        <v>0.72</v>
      </c>
    </row>
  </sheetData>
  <sheetProtection/>
  <mergeCells count="12">
    <mergeCell ref="A2:AA2"/>
    <mergeCell ref="Z3:AA3"/>
    <mergeCell ref="B4:E4"/>
    <mergeCell ref="F4:I4"/>
    <mergeCell ref="J4:N4"/>
    <mergeCell ref="O4:P4"/>
    <mergeCell ref="Q4:R4"/>
    <mergeCell ref="S4:V4"/>
    <mergeCell ref="W4:X4"/>
    <mergeCell ref="Z4:AA4"/>
    <mergeCell ref="A4:A6"/>
    <mergeCell ref="Y4:Y5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6"/>
  <sheetViews>
    <sheetView zoomScaleSheetLayoutView="100" workbookViewId="0" topLeftCell="A1">
      <selection activeCell="D3" sqref="D3"/>
    </sheetView>
  </sheetViews>
  <sheetFormatPr defaultColWidth="9.00390625" defaultRowHeight="15"/>
  <cols>
    <col min="1" max="1" width="10.7109375" style="26" customWidth="1"/>
    <col min="2" max="13" width="4.7109375" style="26" customWidth="1"/>
    <col min="14" max="14" width="5.57421875" style="26" customWidth="1"/>
    <col min="15" max="18" width="5.00390625" style="26" customWidth="1"/>
    <col min="19" max="22" width="4.140625" style="26" customWidth="1"/>
    <col min="23" max="26" width="4.7109375" style="26" customWidth="1"/>
    <col min="27" max="27" width="5.57421875" style="26" customWidth="1"/>
    <col min="28" max="32" width="5.7109375" style="26" customWidth="1"/>
    <col min="33" max="36" width="4.421875" style="26" customWidth="1"/>
    <col min="37" max="41" width="4.8515625" style="26" customWidth="1"/>
    <col min="42" max="43" width="5.7109375" style="26" customWidth="1"/>
    <col min="44" max="44" width="6.421875" style="26" customWidth="1"/>
    <col min="45" max="45" width="6.57421875" style="26" customWidth="1"/>
    <col min="46" max="48" width="5.421875" style="26" customWidth="1"/>
    <col min="49" max="50" width="7.140625" style="26" customWidth="1"/>
    <col min="51" max="51" width="7.57421875" style="26" customWidth="1"/>
    <col min="52" max="52" width="7.28125" style="26" customWidth="1"/>
    <col min="53" max="53" width="4.7109375" style="26" customWidth="1"/>
    <col min="54" max="54" width="7.7109375" style="26" customWidth="1"/>
    <col min="55" max="55" width="5.421875" style="26" customWidth="1"/>
    <col min="56" max="56" width="4.8515625" style="26" customWidth="1"/>
    <col min="57" max="57" width="7.140625" style="26" customWidth="1"/>
    <col min="58" max="58" width="4.421875" style="26" customWidth="1"/>
    <col min="59" max="59" width="7.140625" style="26" customWidth="1"/>
    <col min="60" max="60" width="4.8515625" style="26" customWidth="1"/>
    <col min="61" max="16384" width="9.00390625" style="26" customWidth="1"/>
  </cols>
  <sheetData>
    <row r="1" s="26" customFormat="1" ht="13.5">
      <c r="A1" s="26" t="s">
        <v>101</v>
      </c>
    </row>
    <row r="2" spans="1:60" s="26" customFormat="1" ht="35.25">
      <c r="A2" s="29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</row>
    <row r="3" spans="59:60" s="26" customFormat="1" ht="25.5" customHeight="1">
      <c r="BG3" s="62" t="s">
        <v>2</v>
      </c>
      <c r="BH3" s="62"/>
    </row>
    <row r="4" spans="1:60" s="27" customFormat="1" ht="48.75" customHeight="1">
      <c r="A4" s="30" t="s">
        <v>4</v>
      </c>
      <c r="B4" s="31" t="s">
        <v>28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1" t="s">
        <v>29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1" t="s">
        <v>30</v>
      </c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45"/>
      <c r="AP4" s="34" t="s">
        <v>31</v>
      </c>
      <c r="AQ4" s="35"/>
      <c r="AR4" s="36"/>
      <c r="AS4" s="47" t="s">
        <v>32</v>
      </c>
      <c r="AT4" s="48"/>
      <c r="AU4" s="49" t="s">
        <v>103</v>
      </c>
      <c r="AV4" s="50"/>
      <c r="AW4" s="50"/>
      <c r="AX4" s="50"/>
      <c r="AY4" s="59"/>
      <c r="AZ4" s="49" t="s">
        <v>104</v>
      </c>
      <c r="BA4" s="50"/>
      <c r="BB4" s="59"/>
      <c r="BC4" s="47" t="s">
        <v>105</v>
      </c>
      <c r="BD4" s="48"/>
      <c r="BE4" s="63" t="s">
        <v>106</v>
      </c>
      <c r="BF4" s="34" t="s">
        <v>14</v>
      </c>
      <c r="BG4" s="35"/>
      <c r="BH4" s="36"/>
    </row>
    <row r="5" spans="1:60" s="27" customFormat="1" ht="86.25" customHeight="1">
      <c r="A5" s="33"/>
      <c r="B5" s="34" t="s">
        <v>107</v>
      </c>
      <c r="C5" s="35"/>
      <c r="D5" s="35"/>
      <c r="E5" s="36"/>
      <c r="F5" s="34" t="s">
        <v>108</v>
      </c>
      <c r="G5" s="35"/>
      <c r="H5" s="35"/>
      <c r="I5" s="36"/>
      <c r="J5" s="34" t="s">
        <v>109</v>
      </c>
      <c r="K5" s="35"/>
      <c r="L5" s="35"/>
      <c r="M5" s="36"/>
      <c r="N5" s="43" t="s">
        <v>110</v>
      </c>
      <c r="O5" s="34" t="s">
        <v>107</v>
      </c>
      <c r="P5" s="35"/>
      <c r="Q5" s="35"/>
      <c r="R5" s="36"/>
      <c r="S5" s="34" t="s">
        <v>108</v>
      </c>
      <c r="T5" s="35"/>
      <c r="U5" s="35"/>
      <c r="V5" s="36"/>
      <c r="W5" s="34" t="s">
        <v>109</v>
      </c>
      <c r="X5" s="35"/>
      <c r="Y5" s="35"/>
      <c r="Z5" s="36"/>
      <c r="AA5" s="43" t="s">
        <v>110</v>
      </c>
      <c r="AB5" s="31" t="s">
        <v>107</v>
      </c>
      <c r="AC5" s="32"/>
      <c r="AD5" s="32"/>
      <c r="AE5" s="32"/>
      <c r="AF5" s="45"/>
      <c r="AG5" s="34" t="s">
        <v>108</v>
      </c>
      <c r="AH5" s="35"/>
      <c r="AI5" s="35"/>
      <c r="AJ5" s="36"/>
      <c r="AK5" s="34" t="s">
        <v>109</v>
      </c>
      <c r="AL5" s="35"/>
      <c r="AM5" s="35"/>
      <c r="AN5" s="36"/>
      <c r="AO5" s="43" t="s">
        <v>110</v>
      </c>
      <c r="AP5" s="37" t="s">
        <v>111</v>
      </c>
      <c r="AQ5" s="37" t="s">
        <v>112</v>
      </c>
      <c r="AR5" s="37" t="s">
        <v>42</v>
      </c>
      <c r="AS5" s="51" t="s">
        <v>43</v>
      </c>
      <c r="AT5" s="49" t="s">
        <v>44</v>
      </c>
      <c r="AU5" s="37" t="s">
        <v>111</v>
      </c>
      <c r="AV5" s="37" t="s">
        <v>112</v>
      </c>
      <c r="AW5" s="60" t="s">
        <v>45</v>
      </c>
      <c r="AX5" s="60" t="s">
        <v>46</v>
      </c>
      <c r="AY5" s="60" t="s">
        <v>47</v>
      </c>
      <c r="AZ5" s="60" t="s">
        <v>113</v>
      </c>
      <c r="BA5" s="60" t="s">
        <v>114</v>
      </c>
      <c r="BB5" s="60" t="s">
        <v>115</v>
      </c>
      <c r="BC5" s="51" t="s">
        <v>43</v>
      </c>
      <c r="BD5" s="49" t="s">
        <v>44</v>
      </c>
      <c r="BE5" s="52"/>
      <c r="BF5" s="63" t="s">
        <v>17</v>
      </c>
      <c r="BG5" s="34" t="s">
        <v>16</v>
      </c>
      <c r="BH5" s="36"/>
    </row>
    <row r="6" spans="1:60" s="27" customFormat="1" ht="72" customHeight="1">
      <c r="A6" s="33"/>
      <c r="B6" s="37" t="s">
        <v>36</v>
      </c>
      <c r="C6" s="37" t="s">
        <v>37</v>
      </c>
      <c r="D6" s="37" t="s">
        <v>38</v>
      </c>
      <c r="E6" s="37" t="s">
        <v>39</v>
      </c>
      <c r="F6" s="37" t="s">
        <v>36</v>
      </c>
      <c r="G6" s="37" t="s">
        <v>37</v>
      </c>
      <c r="H6" s="37" t="s">
        <v>38</v>
      </c>
      <c r="I6" s="37" t="s">
        <v>39</v>
      </c>
      <c r="J6" s="37" t="s">
        <v>36</v>
      </c>
      <c r="K6" s="37" t="s">
        <v>37</v>
      </c>
      <c r="L6" s="37" t="s">
        <v>38</v>
      </c>
      <c r="M6" s="37" t="s">
        <v>39</v>
      </c>
      <c r="N6" s="44"/>
      <c r="O6" s="37" t="s">
        <v>36</v>
      </c>
      <c r="P6" s="37" t="s">
        <v>37</v>
      </c>
      <c r="Q6" s="37" t="s">
        <v>38</v>
      </c>
      <c r="R6" s="37" t="s">
        <v>39</v>
      </c>
      <c r="S6" s="37" t="s">
        <v>36</v>
      </c>
      <c r="T6" s="37" t="s">
        <v>37</v>
      </c>
      <c r="U6" s="37" t="s">
        <v>38</v>
      </c>
      <c r="V6" s="37" t="s">
        <v>39</v>
      </c>
      <c r="W6" s="37" t="s">
        <v>36</v>
      </c>
      <c r="X6" s="37" t="s">
        <v>37</v>
      </c>
      <c r="Y6" s="37" t="s">
        <v>38</v>
      </c>
      <c r="Z6" s="37" t="s">
        <v>39</v>
      </c>
      <c r="AA6" s="44"/>
      <c r="AB6" s="37" t="s">
        <v>36</v>
      </c>
      <c r="AC6" s="37" t="s">
        <v>40</v>
      </c>
      <c r="AD6" s="37" t="s">
        <v>38</v>
      </c>
      <c r="AE6" s="37" t="s">
        <v>39</v>
      </c>
      <c r="AF6" s="37" t="s">
        <v>84</v>
      </c>
      <c r="AG6" s="46" t="s">
        <v>36</v>
      </c>
      <c r="AH6" s="46" t="s">
        <v>37</v>
      </c>
      <c r="AI6" s="37" t="s">
        <v>38</v>
      </c>
      <c r="AJ6" s="37" t="s">
        <v>39</v>
      </c>
      <c r="AK6" s="46" t="s">
        <v>36</v>
      </c>
      <c r="AL6" s="46" t="s">
        <v>37</v>
      </c>
      <c r="AM6" s="37" t="s">
        <v>38</v>
      </c>
      <c r="AN6" s="37" t="s">
        <v>39</v>
      </c>
      <c r="AO6" s="44"/>
      <c r="AP6" s="52" t="s">
        <v>116</v>
      </c>
      <c r="AQ6" s="52" t="s">
        <v>117</v>
      </c>
      <c r="AR6" s="52" t="s">
        <v>118</v>
      </c>
      <c r="AS6" s="53" t="s">
        <v>119</v>
      </c>
      <c r="AT6" s="54" t="s">
        <v>120</v>
      </c>
      <c r="AU6" s="54" t="s">
        <v>121</v>
      </c>
      <c r="AV6" s="54" t="s">
        <v>122</v>
      </c>
      <c r="AW6" s="54" t="s">
        <v>123</v>
      </c>
      <c r="AX6" s="54" t="s">
        <v>124</v>
      </c>
      <c r="AY6" s="54" t="s">
        <v>125</v>
      </c>
      <c r="AZ6" s="54" t="s">
        <v>126</v>
      </c>
      <c r="BA6" s="54" t="s">
        <v>127</v>
      </c>
      <c r="BB6" s="54" t="s">
        <v>128</v>
      </c>
      <c r="BC6" s="53" t="s">
        <v>129</v>
      </c>
      <c r="BD6" s="54" t="s">
        <v>130</v>
      </c>
      <c r="BE6" s="55"/>
      <c r="BF6" s="55"/>
      <c r="BG6" s="37" t="s">
        <v>131</v>
      </c>
      <c r="BH6" s="64" t="s">
        <v>19</v>
      </c>
    </row>
    <row r="7" spans="1:60" s="27" customFormat="1" ht="71.25" customHeight="1">
      <c r="A7" s="38"/>
      <c r="B7" s="37" t="s">
        <v>48</v>
      </c>
      <c r="C7" s="37" t="s">
        <v>49</v>
      </c>
      <c r="D7" s="37" t="s">
        <v>50</v>
      </c>
      <c r="E7" s="37" t="s">
        <v>51</v>
      </c>
      <c r="F7" s="37" t="s">
        <v>52</v>
      </c>
      <c r="G7" s="37" t="s">
        <v>53</v>
      </c>
      <c r="H7" s="37" t="s">
        <v>54</v>
      </c>
      <c r="I7" s="37" t="s">
        <v>55</v>
      </c>
      <c r="J7" s="37" t="s">
        <v>56</v>
      </c>
      <c r="K7" s="37" t="s">
        <v>57</v>
      </c>
      <c r="L7" s="37" t="s">
        <v>58</v>
      </c>
      <c r="M7" s="37" t="s">
        <v>59</v>
      </c>
      <c r="N7" s="37" t="s">
        <v>85</v>
      </c>
      <c r="O7" s="37" t="s">
        <v>132</v>
      </c>
      <c r="P7" s="37" t="s">
        <v>133</v>
      </c>
      <c r="Q7" s="37" t="s">
        <v>134</v>
      </c>
      <c r="R7" s="37" t="s">
        <v>135</v>
      </c>
      <c r="S7" s="37" t="s">
        <v>136</v>
      </c>
      <c r="T7" s="37" t="s">
        <v>66</v>
      </c>
      <c r="U7" s="37" t="s">
        <v>92</v>
      </c>
      <c r="V7" s="37" t="s">
        <v>137</v>
      </c>
      <c r="W7" s="37" t="s">
        <v>138</v>
      </c>
      <c r="X7" s="37" t="s">
        <v>139</v>
      </c>
      <c r="Y7" s="37" t="s">
        <v>71</v>
      </c>
      <c r="Z7" s="37" t="s">
        <v>72</v>
      </c>
      <c r="AA7" s="37" t="s">
        <v>97</v>
      </c>
      <c r="AB7" s="37" t="s">
        <v>140</v>
      </c>
      <c r="AC7" s="37" t="s">
        <v>141</v>
      </c>
      <c r="AD7" s="37" t="s">
        <v>142</v>
      </c>
      <c r="AE7" s="37" t="s">
        <v>143</v>
      </c>
      <c r="AF7" s="37" t="s">
        <v>144</v>
      </c>
      <c r="AG7" s="37" t="s">
        <v>145</v>
      </c>
      <c r="AH7" s="37" t="s">
        <v>146</v>
      </c>
      <c r="AI7" s="37" t="s">
        <v>147</v>
      </c>
      <c r="AJ7" s="37" t="s">
        <v>148</v>
      </c>
      <c r="AK7" s="37" t="s">
        <v>149</v>
      </c>
      <c r="AL7" s="37" t="s">
        <v>150</v>
      </c>
      <c r="AM7" s="37" t="s">
        <v>151</v>
      </c>
      <c r="AN7" s="37" t="s">
        <v>152</v>
      </c>
      <c r="AO7" s="37" t="s">
        <v>153</v>
      </c>
      <c r="AP7" s="55"/>
      <c r="AQ7" s="55"/>
      <c r="AR7" s="55"/>
      <c r="AS7" s="56"/>
      <c r="AT7" s="57"/>
      <c r="AU7" s="57"/>
      <c r="AV7" s="57"/>
      <c r="AW7" s="57"/>
      <c r="AX7" s="57"/>
      <c r="AY7" s="57"/>
      <c r="AZ7" s="57"/>
      <c r="BA7" s="57"/>
      <c r="BB7" s="57"/>
      <c r="BC7" s="56"/>
      <c r="BD7" s="57"/>
      <c r="BE7" s="37" t="s">
        <v>154</v>
      </c>
      <c r="BF7" s="37" t="s">
        <v>155</v>
      </c>
      <c r="BG7" s="37" t="s">
        <v>156</v>
      </c>
      <c r="BH7" s="37" t="s">
        <v>157</v>
      </c>
    </row>
    <row r="8" spans="1:60" s="28" customFormat="1" ht="39.75" customHeight="1">
      <c r="A8" s="39" t="s">
        <v>73</v>
      </c>
      <c r="B8" s="40">
        <f aca="true" t="shared" si="0" ref="B8:BH8">B9+B13+B14+B15+B16</f>
        <v>1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-1</v>
      </c>
      <c r="G8" s="40">
        <f t="shared" si="0"/>
        <v>-6</v>
      </c>
      <c r="H8" s="40">
        <f t="shared" si="0"/>
        <v>-1</v>
      </c>
      <c r="I8" s="40">
        <f t="shared" si="0"/>
        <v>0</v>
      </c>
      <c r="J8" s="40">
        <f t="shared" si="0"/>
        <v>0</v>
      </c>
      <c r="K8" s="40">
        <f t="shared" si="0"/>
        <v>-1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40">
        <f t="shared" si="0"/>
        <v>4</v>
      </c>
      <c r="P8" s="40">
        <f t="shared" si="0"/>
        <v>36</v>
      </c>
      <c r="Q8" s="40">
        <f t="shared" si="0"/>
        <v>4</v>
      </c>
      <c r="R8" s="40">
        <f t="shared" si="0"/>
        <v>0</v>
      </c>
      <c r="S8" s="40">
        <f t="shared" si="0"/>
        <v>1</v>
      </c>
      <c r="T8" s="40">
        <f t="shared" si="0"/>
        <v>-3</v>
      </c>
      <c r="U8" s="40">
        <f t="shared" si="0"/>
        <v>2</v>
      </c>
      <c r="V8" s="40">
        <f t="shared" si="0"/>
        <v>0</v>
      </c>
      <c r="W8" s="40">
        <f t="shared" si="0"/>
        <v>0</v>
      </c>
      <c r="X8" s="40">
        <f t="shared" si="0"/>
        <v>-1</v>
      </c>
      <c r="Y8" s="40">
        <f t="shared" si="0"/>
        <v>0</v>
      </c>
      <c r="Z8" s="40">
        <f t="shared" si="0"/>
        <v>0</v>
      </c>
      <c r="AA8" s="40">
        <f t="shared" si="0"/>
        <v>0</v>
      </c>
      <c r="AB8" s="40">
        <f t="shared" si="0"/>
        <v>110</v>
      </c>
      <c r="AC8" s="40">
        <f t="shared" si="0"/>
        <v>411</v>
      </c>
      <c r="AD8" s="40">
        <f t="shared" si="0"/>
        <v>96</v>
      </c>
      <c r="AE8" s="40">
        <f t="shared" si="0"/>
        <v>1</v>
      </c>
      <c r="AF8" s="40">
        <f t="shared" si="0"/>
        <v>0</v>
      </c>
      <c r="AG8" s="40">
        <f t="shared" si="0"/>
        <v>19</v>
      </c>
      <c r="AH8" s="40">
        <f t="shared" si="0"/>
        <v>45</v>
      </c>
      <c r="AI8" s="40">
        <f t="shared" si="0"/>
        <v>16</v>
      </c>
      <c r="AJ8" s="40">
        <f t="shared" si="0"/>
        <v>0</v>
      </c>
      <c r="AK8" s="40">
        <f t="shared" si="0"/>
        <v>0</v>
      </c>
      <c r="AL8" s="40">
        <f t="shared" si="0"/>
        <v>3</v>
      </c>
      <c r="AM8" s="40">
        <f t="shared" si="0"/>
        <v>0</v>
      </c>
      <c r="AN8" s="40">
        <f t="shared" si="0"/>
        <v>0</v>
      </c>
      <c r="AO8" s="40">
        <f t="shared" si="0"/>
        <v>0</v>
      </c>
      <c r="AP8" s="40">
        <f t="shared" si="0"/>
        <v>41</v>
      </c>
      <c r="AQ8" s="40">
        <f t="shared" si="0"/>
        <v>-11</v>
      </c>
      <c r="AR8" s="40">
        <f t="shared" si="0"/>
        <v>4.499999999999999</v>
      </c>
      <c r="AS8" s="40">
        <f t="shared" si="0"/>
        <v>0</v>
      </c>
      <c r="AT8" s="40">
        <f t="shared" si="0"/>
        <v>0</v>
      </c>
      <c r="AU8" s="40">
        <f t="shared" si="0"/>
        <v>522</v>
      </c>
      <c r="AV8" s="40">
        <f t="shared" si="0"/>
        <v>67</v>
      </c>
      <c r="AW8" s="40">
        <f t="shared" si="0"/>
        <v>88.35</v>
      </c>
      <c r="AX8" s="40">
        <f t="shared" si="0"/>
        <v>98.85</v>
      </c>
      <c r="AY8" s="61">
        <f t="shared" si="0"/>
        <v>-10.5</v>
      </c>
      <c r="AZ8" s="40">
        <f t="shared" si="0"/>
        <v>88.35</v>
      </c>
      <c r="BA8" s="40">
        <f t="shared" si="0"/>
        <v>0</v>
      </c>
      <c r="BB8" s="40">
        <f t="shared" si="0"/>
        <v>88.35</v>
      </c>
      <c r="BC8" s="40">
        <f t="shared" si="0"/>
        <v>17</v>
      </c>
      <c r="BD8" s="40">
        <f t="shared" si="0"/>
        <v>3.4000000000000004</v>
      </c>
      <c r="BE8" s="40">
        <f t="shared" si="0"/>
        <v>85.75000000000001</v>
      </c>
      <c r="BF8" s="40">
        <f t="shared" si="0"/>
        <v>0</v>
      </c>
      <c r="BG8" s="40">
        <f t="shared" si="0"/>
        <v>85.75</v>
      </c>
      <c r="BH8" s="40">
        <f t="shared" si="0"/>
        <v>0</v>
      </c>
    </row>
    <row r="9" spans="1:60" s="28" customFormat="1" ht="39.75" customHeight="1">
      <c r="A9" s="39" t="s">
        <v>74</v>
      </c>
      <c r="B9" s="40">
        <f aca="true" t="shared" si="1" ref="B9:BH9">SUM(B10:B12)</f>
        <v>1</v>
      </c>
      <c r="C9" s="40">
        <f t="shared" si="1"/>
        <v>0</v>
      </c>
      <c r="D9" s="40">
        <f t="shared" si="1"/>
        <v>0</v>
      </c>
      <c r="E9" s="40">
        <f t="shared" si="1"/>
        <v>0</v>
      </c>
      <c r="F9" s="40">
        <f t="shared" si="1"/>
        <v>0</v>
      </c>
      <c r="G9" s="40">
        <f t="shared" si="1"/>
        <v>0</v>
      </c>
      <c r="H9" s="40">
        <f t="shared" si="1"/>
        <v>0</v>
      </c>
      <c r="I9" s="40">
        <f t="shared" si="1"/>
        <v>0</v>
      </c>
      <c r="J9" s="40">
        <f t="shared" si="1"/>
        <v>0</v>
      </c>
      <c r="K9" s="40">
        <f t="shared" si="1"/>
        <v>0</v>
      </c>
      <c r="L9" s="40">
        <f t="shared" si="1"/>
        <v>0</v>
      </c>
      <c r="M9" s="40">
        <f t="shared" si="1"/>
        <v>0</v>
      </c>
      <c r="N9" s="40">
        <f t="shared" si="1"/>
        <v>0</v>
      </c>
      <c r="O9" s="40">
        <f t="shared" si="1"/>
        <v>5</v>
      </c>
      <c r="P9" s="40">
        <f t="shared" si="1"/>
        <v>0</v>
      </c>
      <c r="Q9" s="40">
        <f t="shared" si="1"/>
        <v>0</v>
      </c>
      <c r="R9" s="40">
        <f t="shared" si="1"/>
        <v>0</v>
      </c>
      <c r="S9" s="40">
        <f t="shared" si="1"/>
        <v>1</v>
      </c>
      <c r="T9" s="40">
        <f t="shared" si="1"/>
        <v>0</v>
      </c>
      <c r="U9" s="40">
        <f t="shared" si="1"/>
        <v>0</v>
      </c>
      <c r="V9" s="40">
        <f t="shared" si="1"/>
        <v>0</v>
      </c>
      <c r="W9" s="40">
        <f t="shared" si="1"/>
        <v>0</v>
      </c>
      <c r="X9" s="40">
        <f t="shared" si="1"/>
        <v>0</v>
      </c>
      <c r="Y9" s="40">
        <f t="shared" si="1"/>
        <v>0</v>
      </c>
      <c r="Z9" s="40">
        <f t="shared" si="1"/>
        <v>0</v>
      </c>
      <c r="AA9" s="40">
        <f t="shared" si="1"/>
        <v>0</v>
      </c>
      <c r="AB9" s="40">
        <f t="shared" si="1"/>
        <v>70</v>
      </c>
      <c r="AC9" s="40">
        <f t="shared" si="1"/>
        <v>0</v>
      </c>
      <c r="AD9" s="40">
        <f t="shared" si="1"/>
        <v>0</v>
      </c>
      <c r="AE9" s="40">
        <f t="shared" si="1"/>
        <v>0</v>
      </c>
      <c r="AF9" s="40">
        <f t="shared" si="1"/>
        <v>0</v>
      </c>
      <c r="AG9" s="40">
        <f t="shared" si="1"/>
        <v>13</v>
      </c>
      <c r="AH9" s="40">
        <f t="shared" si="1"/>
        <v>0</v>
      </c>
      <c r="AI9" s="40">
        <f t="shared" si="1"/>
        <v>0</v>
      </c>
      <c r="AJ9" s="40">
        <f t="shared" si="1"/>
        <v>0</v>
      </c>
      <c r="AK9" s="40">
        <f t="shared" si="1"/>
        <v>0</v>
      </c>
      <c r="AL9" s="40">
        <f t="shared" si="1"/>
        <v>0</v>
      </c>
      <c r="AM9" s="40">
        <f t="shared" si="1"/>
        <v>0</v>
      </c>
      <c r="AN9" s="40">
        <f t="shared" si="1"/>
        <v>0</v>
      </c>
      <c r="AO9" s="40">
        <f t="shared" si="1"/>
        <v>0</v>
      </c>
      <c r="AP9" s="40">
        <f t="shared" si="1"/>
        <v>6</v>
      </c>
      <c r="AQ9" s="40">
        <f t="shared" si="1"/>
        <v>1</v>
      </c>
      <c r="AR9" s="40">
        <f t="shared" si="1"/>
        <v>1.0499999999999998</v>
      </c>
      <c r="AS9" s="40">
        <f t="shared" si="1"/>
        <v>7</v>
      </c>
      <c r="AT9" s="40">
        <f t="shared" si="1"/>
        <v>0.7000000000000001</v>
      </c>
      <c r="AU9" s="40">
        <f t="shared" si="1"/>
        <v>70</v>
      </c>
      <c r="AV9" s="40">
        <f t="shared" si="1"/>
        <v>13</v>
      </c>
      <c r="AW9" s="40">
        <f t="shared" si="1"/>
        <v>12.45</v>
      </c>
      <c r="AX9" s="40">
        <f t="shared" si="1"/>
        <v>15.3</v>
      </c>
      <c r="AY9" s="40">
        <f t="shared" si="1"/>
        <v>-2.850000000000001</v>
      </c>
      <c r="AZ9" s="40">
        <f t="shared" si="1"/>
        <v>12.45</v>
      </c>
      <c r="BA9" s="40">
        <f t="shared" si="1"/>
        <v>0</v>
      </c>
      <c r="BB9" s="40">
        <f t="shared" si="1"/>
        <v>12.45</v>
      </c>
      <c r="BC9" s="40">
        <f t="shared" si="1"/>
        <v>83</v>
      </c>
      <c r="BD9" s="40">
        <f t="shared" si="1"/>
        <v>16.6</v>
      </c>
      <c r="BE9" s="40">
        <f t="shared" si="1"/>
        <v>27.950000000000003</v>
      </c>
      <c r="BF9" s="40">
        <f t="shared" si="1"/>
        <v>0</v>
      </c>
      <c r="BG9" s="40">
        <f t="shared" si="1"/>
        <v>27.950000000000003</v>
      </c>
      <c r="BH9" s="40">
        <f t="shared" si="1"/>
        <v>0</v>
      </c>
    </row>
    <row r="10" spans="1:60" s="26" customFormat="1" ht="39.75" customHeight="1">
      <c r="A10" s="41" t="s">
        <v>98</v>
      </c>
      <c r="B10" s="42">
        <v>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>
        <v>2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>
        <v>24</v>
      </c>
      <c r="AC10" s="42"/>
      <c r="AD10" s="42"/>
      <c r="AE10" s="42"/>
      <c r="AF10" s="42"/>
      <c r="AG10" s="42">
        <v>5</v>
      </c>
      <c r="AH10" s="42"/>
      <c r="AI10" s="42"/>
      <c r="AJ10" s="42"/>
      <c r="AK10" s="42"/>
      <c r="AL10" s="42"/>
      <c r="AM10" s="42"/>
      <c r="AN10" s="42"/>
      <c r="AO10" s="42"/>
      <c r="AP10" s="42">
        <f aca="true" t="shared" si="2" ref="AP10:AP16">B10+C10+E10+O10+P10+R10</f>
        <v>3</v>
      </c>
      <c r="AQ10" s="42">
        <f aca="true" t="shared" si="3" ref="AQ10:AQ16">F10+G10+I10+J10+K10+M10+N10+S10+T10+V10+W10+X10+Z10+AA10</f>
        <v>0</v>
      </c>
      <c r="AR10" s="42">
        <f aca="true" t="shared" si="4" ref="AR10:AR16">(AP10+AQ10)*0.25*0.6</f>
        <v>0.44999999999999996</v>
      </c>
      <c r="AS10" s="42">
        <f aca="true" t="shared" si="5" ref="AS10:AS16">B10+F10+J10+O10+S10+W10-D10-H10-L10-Q10-U10-Y10</f>
        <v>3</v>
      </c>
      <c r="AT10" s="42">
        <f aca="true" t="shared" si="6" ref="AT10:AT16">AS10*0.25*0.4</f>
        <v>0.30000000000000004</v>
      </c>
      <c r="AU10" s="42">
        <f aca="true" t="shared" si="7" ref="AU10:AU16">AB10+AC10+AE10</f>
        <v>24</v>
      </c>
      <c r="AV10" s="42">
        <f aca="true" t="shared" si="8" ref="AV10:AV16">AG10+AH10+AJ10+AK10+AL10+AN10+AO10</f>
        <v>5</v>
      </c>
      <c r="AW10" s="42">
        <f aca="true" t="shared" si="9" ref="AW10:AW16">(AU10+AV10)*0.25*0.6</f>
        <v>4.35</v>
      </c>
      <c r="AX10" s="42">
        <v>3.45</v>
      </c>
      <c r="AY10" s="42">
        <f aca="true" t="shared" si="10" ref="AY10:AY12">AW10-AX10</f>
        <v>0.8999999999999995</v>
      </c>
      <c r="AZ10" s="42">
        <f aca="true" t="shared" si="11" ref="AZ10:AZ16">AW10</f>
        <v>4.35</v>
      </c>
      <c r="BA10" s="42"/>
      <c r="BB10" s="42">
        <f aca="true" t="shared" si="12" ref="BB10:BB16">AZ10-BA10</f>
        <v>4.35</v>
      </c>
      <c r="BC10" s="42">
        <f aca="true" t="shared" si="13" ref="BC10:BC16">AB10+AG10+AK10-AD10-AI10-AM10</f>
        <v>29</v>
      </c>
      <c r="BD10" s="42">
        <f aca="true" t="shared" si="14" ref="BD10:BD16">BC10*0.25*0.4*2</f>
        <v>5.800000000000001</v>
      </c>
      <c r="BE10" s="42">
        <f aca="true" t="shared" si="15" ref="BE10:BE16">AR10+AT10+AY10+AZ10+BD10</f>
        <v>11.8</v>
      </c>
      <c r="BF10" s="42"/>
      <c r="BG10" s="42">
        <v>11.8</v>
      </c>
      <c r="BH10" s="42"/>
    </row>
    <row r="11" spans="1:60" s="26" customFormat="1" ht="39.75" customHeight="1">
      <c r="A11" s="41" t="s">
        <v>99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>
        <v>9</v>
      </c>
      <c r="AC11" s="42"/>
      <c r="AD11" s="42"/>
      <c r="AE11" s="42"/>
      <c r="AF11" s="42"/>
      <c r="AG11" s="42">
        <v>5</v>
      </c>
      <c r="AH11" s="42"/>
      <c r="AI11" s="42"/>
      <c r="AJ11" s="42"/>
      <c r="AK11" s="42"/>
      <c r="AL11" s="42"/>
      <c r="AM11" s="42"/>
      <c r="AN11" s="42"/>
      <c r="AO11" s="42"/>
      <c r="AP11" s="42">
        <f t="shared" si="2"/>
        <v>0</v>
      </c>
      <c r="AQ11" s="42">
        <f t="shared" si="3"/>
        <v>0</v>
      </c>
      <c r="AR11" s="42">
        <f t="shared" si="4"/>
        <v>0</v>
      </c>
      <c r="AS11" s="42">
        <f t="shared" si="5"/>
        <v>0</v>
      </c>
      <c r="AT11" s="42">
        <f t="shared" si="6"/>
        <v>0</v>
      </c>
      <c r="AU11" s="42">
        <f t="shared" si="7"/>
        <v>9</v>
      </c>
      <c r="AV11" s="42">
        <f t="shared" si="8"/>
        <v>5</v>
      </c>
      <c r="AW11" s="42">
        <f t="shared" si="9"/>
        <v>2.1</v>
      </c>
      <c r="AX11" s="42">
        <v>2.7</v>
      </c>
      <c r="AY11" s="42">
        <f t="shared" si="10"/>
        <v>-0.6000000000000001</v>
      </c>
      <c r="AZ11" s="42">
        <f t="shared" si="11"/>
        <v>2.1</v>
      </c>
      <c r="BA11" s="42"/>
      <c r="BB11" s="42">
        <f t="shared" si="12"/>
        <v>2.1</v>
      </c>
      <c r="BC11" s="42">
        <f t="shared" si="13"/>
        <v>14</v>
      </c>
      <c r="BD11" s="42">
        <f t="shared" si="14"/>
        <v>2.8000000000000003</v>
      </c>
      <c r="BE11" s="42">
        <f t="shared" si="15"/>
        <v>4.300000000000001</v>
      </c>
      <c r="BF11" s="42"/>
      <c r="BG11" s="42">
        <v>4.3</v>
      </c>
      <c r="BH11" s="42"/>
    </row>
    <row r="12" spans="1:60" s="26" customFormat="1" ht="39.75" customHeight="1">
      <c r="A12" s="41" t="s">
        <v>100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>
        <v>3</v>
      </c>
      <c r="P12" s="42"/>
      <c r="Q12" s="42"/>
      <c r="R12" s="42"/>
      <c r="S12" s="42">
        <v>1</v>
      </c>
      <c r="T12" s="42"/>
      <c r="U12" s="42"/>
      <c r="V12" s="42"/>
      <c r="W12" s="42"/>
      <c r="X12" s="42"/>
      <c r="Y12" s="42"/>
      <c r="Z12" s="42"/>
      <c r="AA12" s="42"/>
      <c r="AB12" s="42">
        <v>37</v>
      </c>
      <c r="AC12" s="42"/>
      <c r="AD12" s="42"/>
      <c r="AE12" s="42"/>
      <c r="AF12" s="42"/>
      <c r="AG12" s="42">
        <v>3</v>
      </c>
      <c r="AH12" s="42"/>
      <c r="AI12" s="42"/>
      <c r="AJ12" s="42"/>
      <c r="AK12" s="42"/>
      <c r="AL12" s="42"/>
      <c r="AM12" s="42"/>
      <c r="AN12" s="42"/>
      <c r="AO12" s="42"/>
      <c r="AP12" s="42">
        <f t="shared" si="2"/>
        <v>3</v>
      </c>
      <c r="AQ12" s="42">
        <f t="shared" si="3"/>
        <v>1</v>
      </c>
      <c r="AR12" s="42">
        <f t="shared" si="4"/>
        <v>0.6</v>
      </c>
      <c r="AS12" s="42">
        <f t="shared" si="5"/>
        <v>4</v>
      </c>
      <c r="AT12" s="42">
        <f t="shared" si="6"/>
        <v>0.4</v>
      </c>
      <c r="AU12" s="42">
        <f t="shared" si="7"/>
        <v>37</v>
      </c>
      <c r="AV12" s="42">
        <f t="shared" si="8"/>
        <v>3</v>
      </c>
      <c r="AW12" s="42">
        <f t="shared" si="9"/>
        <v>6</v>
      </c>
      <c r="AX12" s="42">
        <v>9.15</v>
      </c>
      <c r="AY12" s="42">
        <f t="shared" si="10"/>
        <v>-3.1500000000000004</v>
      </c>
      <c r="AZ12" s="42">
        <f t="shared" si="11"/>
        <v>6</v>
      </c>
      <c r="BA12" s="42"/>
      <c r="BB12" s="42">
        <f t="shared" si="12"/>
        <v>6</v>
      </c>
      <c r="BC12" s="42">
        <f t="shared" si="13"/>
        <v>40</v>
      </c>
      <c r="BD12" s="42">
        <f t="shared" si="14"/>
        <v>8</v>
      </c>
      <c r="BE12" s="42">
        <f t="shared" si="15"/>
        <v>11.85</v>
      </c>
      <c r="BF12" s="42"/>
      <c r="BG12" s="42">
        <v>11.85</v>
      </c>
      <c r="BH12" s="42"/>
    </row>
    <row r="13" spans="1:60" s="26" customFormat="1" ht="39.75" customHeight="1">
      <c r="A13" s="41" t="s">
        <v>22</v>
      </c>
      <c r="B13" s="42"/>
      <c r="C13" s="42"/>
      <c r="D13" s="42"/>
      <c r="E13" s="42"/>
      <c r="F13" s="42">
        <v>-1</v>
      </c>
      <c r="G13" s="42">
        <v>-6</v>
      </c>
      <c r="H13" s="42"/>
      <c r="I13" s="42"/>
      <c r="J13" s="42"/>
      <c r="K13" s="42">
        <v>-1</v>
      </c>
      <c r="L13" s="42"/>
      <c r="M13" s="42"/>
      <c r="N13" s="42"/>
      <c r="O13" s="42"/>
      <c r="P13" s="42">
        <v>8</v>
      </c>
      <c r="Q13" s="42">
        <v>2</v>
      </c>
      <c r="R13" s="42"/>
      <c r="S13" s="42"/>
      <c r="T13" s="42">
        <v>-2</v>
      </c>
      <c r="U13" s="42"/>
      <c r="V13" s="42"/>
      <c r="W13" s="42"/>
      <c r="X13" s="42"/>
      <c r="Y13" s="42"/>
      <c r="Z13" s="42"/>
      <c r="AA13" s="42"/>
      <c r="AB13" s="42">
        <v>15</v>
      </c>
      <c r="AC13" s="42">
        <v>47</v>
      </c>
      <c r="AD13" s="42">
        <f>10+1</f>
        <v>11</v>
      </c>
      <c r="AE13" s="42"/>
      <c r="AF13" s="42"/>
      <c r="AG13" s="42"/>
      <c r="AH13" s="42">
        <v>2</v>
      </c>
      <c r="AI13" s="42">
        <v>3</v>
      </c>
      <c r="AJ13" s="42"/>
      <c r="AK13" s="42"/>
      <c r="AL13" s="42"/>
      <c r="AM13" s="42"/>
      <c r="AN13" s="42"/>
      <c r="AO13" s="42"/>
      <c r="AP13" s="42">
        <f t="shared" si="2"/>
        <v>8</v>
      </c>
      <c r="AQ13" s="42">
        <f t="shared" si="3"/>
        <v>-10</v>
      </c>
      <c r="AR13" s="42">
        <f t="shared" si="4"/>
        <v>-0.3</v>
      </c>
      <c r="AS13" s="58">
        <f t="shared" si="5"/>
        <v>-3</v>
      </c>
      <c r="AT13" s="42">
        <f t="shared" si="6"/>
        <v>-0.30000000000000004</v>
      </c>
      <c r="AU13" s="42">
        <f t="shared" si="7"/>
        <v>62</v>
      </c>
      <c r="AV13" s="42">
        <f t="shared" si="8"/>
        <v>2</v>
      </c>
      <c r="AW13" s="42">
        <f t="shared" si="9"/>
        <v>9.6</v>
      </c>
      <c r="AX13" s="42">
        <v>9.45</v>
      </c>
      <c r="AY13" s="42">
        <f>AW14+AW13-AX13</f>
        <v>1.6500000000000004</v>
      </c>
      <c r="AZ13" s="42">
        <f t="shared" si="11"/>
        <v>9.6</v>
      </c>
      <c r="BA13" s="42"/>
      <c r="BB13" s="42">
        <f t="shared" si="12"/>
        <v>9.6</v>
      </c>
      <c r="BC13" s="42">
        <f t="shared" si="13"/>
        <v>1</v>
      </c>
      <c r="BD13" s="42">
        <f t="shared" si="14"/>
        <v>0.2</v>
      </c>
      <c r="BE13" s="42">
        <f t="shared" si="15"/>
        <v>10.85</v>
      </c>
      <c r="BF13" s="42"/>
      <c r="BG13" s="42">
        <f>BE13</f>
        <v>10.85</v>
      </c>
      <c r="BH13" s="42"/>
    </row>
    <row r="14" spans="1:60" s="26" customFormat="1" ht="39.75" customHeight="1">
      <c r="A14" s="41" t="s">
        <v>23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>
        <v>1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>
        <v>1</v>
      </c>
      <c r="AC14" s="42">
        <v>9</v>
      </c>
      <c r="AD14" s="42">
        <v>6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>
        <f t="shared" si="2"/>
        <v>1</v>
      </c>
      <c r="AQ14" s="42">
        <f t="shared" si="3"/>
        <v>0</v>
      </c>
      <c r="AR14" s="42">
        <f t="shared" si="4"/>
        <v>0.15</v>
      </c>
      <c r="AS14" s="42">
        <f t="shared" si="5"/>
        <v>0</v>
      </c>
      <c r="AT14" s="42">
        <f t="shared" si="6"/>
        <v>0</v>
      </c>
      <c r="AU14" s="42">
        <f t="shared" si="7"/>
        <v>10</v>
      </c>
      <c r="AV14" s="42">
        <f t="shared" si="8"/>
        <v>0</v>
      </c>
      <c r="AW14" s="42">
        <f t="shared" si="9"/>
        <v>1.5</v>
      </c>
      <c r="AX14" s="42">
        <v>0</v>
      </c>
      <c r="AY14" s="42">
        <v>0</v>
      </c>
      <c r="AZ14" s="42">
        <f t="shared" si="11"/>
        <v>1.5</v>
      </c>
      <c r="BA14" s="42"/>
      <c r="BB14" s="42">
        <f t="shared" si="12"/>
        <v>1.5</v>
      </c>
      <c r="BC14" s="42">
        <f t="shared" si="13"/>
        <v>-5</v>
      </c>
      <c r="BD14" s="42">
        <f t="shared" si="14"/>
        <v>-1</v>
      </c>
      <c r="BE14" s="42">
        <f t="shared" si="15"/>
        <v>0.6499999999999999</v>
      </c>
      <c r="BF14" s="42"/>
      <c r="BG14" s="42">
        <f>BE14</f>
        <v>0.6499999999999999</v>
      </c>
      <c r="BH14" s="42"/>
    </row>
    <row r="15" spans="1:60" s="26" customFormat="1" ht="39.75" customHeight="1">
      <c r="A15" s="41" t="s">
        <v>24</v>
      </c>
      <c r="B15" s="42"/>
      <c r="C15" s="42"/>
      <c r="D15" s="42"/>
      <c r="E15" s="42"/>
      <c r="F15" s="42"/>
      <c r="G15" s="42"/>
      <c r="H15" s="42">
        <v>-1</v>
      </c>
      <c r="I15" s="42"/>
      <c r="J15" s="42"/>
      <c r="K15" s="42"/>
      <c r="L15" s="42"/>
      <c r="M15" s="42"/>
      <c r="N15" s="42"/>
      <c r="O15" s="42">
        <v>-1</v>
      </c>
      <c r="P15" s="42">
        <v>27</v>
      </c>
      <c r="Q15" s="42">
        <f>1+1</f>
        <v>2</v>
      </c>
      <c r="R15" s="42"/>
      <c r="S15" s="42"/>
      <c r="T15" s="42">
        <v>-1</v>
      </c>
      <c r="U15" s="42">
        <f>1+1</f>
        <v>2</v>
      </c>
      <c r="V15" s="42"/>
      <c r="W15" s="42"/>
      <c r="X15" s="42">
        <v>-1</v>
      </c>
      <c r="Y15" s="42"/>
      <c r="Z15" s="42"/>
      <c r="AA15" s="42"/>
      <c r="AB15" s="42">
        <v>2</v>
      </c>
      <c r="AC15" s="42">
        <v>351</v>
      </c>
      <c r="AD15" s="42">
        <v>76</v>
      </c>
      <c r="AE15" s="42">
        <v>1</v>
      </c>
      <c r="AF15" s="42"/>
      <c r="AG15" s="42">
        <v>1</v>
      </c>
      <c r="AH15" s="42">
        <v>37</v>
      </c>
      <c r="AI15" s="42">
        <f>9+2</f>
        <v>11</v>
      </c>
      <c r="AJ15" s="42"/>
      <c r="AK15" s="42"/>
      <c r="AL15" s="42">
        <v>3</v>
      </c>
      <c r="AM15" s="42"/>
      <c r="AN15" s="42"/>
      <c r="AO15" s="42"/>
      <c r="AP15" s="42">
        <f t="shared" si="2"/>
        <v>26</v>
      </c>
      <c r="AQ15" s="42">
        <f t="shared" si="3"/>
        <v>-2</v>
      </c>
      <c r="AR15" s="42">
        <f t="shared" si="4"/>
        <v>3.5999999999999996</v>
      </c>
      <c r="AS15" s="42">
        <f t="shared" si="5"/>
        <v>-4</v>
      </c>
      <c r="AT15" s="42">
        <f t="shared" si="6"/>
        <v>-0.4</v>
      </c>
      <c r="AU15" s="42">
        <f t="shared" si="7"/>
        <v>354</v>
      </c>
      <c r="AV15" s="42">
        <f t="shared" si="8"/>
        <v>41</v>
      </c>
      <c r="AW15" s="42">
        <f t="shared" si="9"/>
        <v>59.25</v>
      </c>
      <c r="AX15" s="42">
        <v>67.5</v>
      </c>
      <c r="AY15" s="42">
        <f>AW15-AX15</f>
        <v>-8.25</v>
      </c>
      <c r="AZ15" s="42">
        <f t="shared" si="11"/>
        <v>59.25</v>
      </c>
      <c r="BA15" s="42"/>
      <c r="BB15" s="42">
        <f t="shared" si="12"/>
        <v>59.25</v>
      </c>
      <c r="BC15" s="42">
        <f t="shared" si="13"/>
        <v>-84</v>
      </c>
      <c r="BD15" s="42">
        <f t="shared" si="14"/>
        <v>-16.8</v>
      </c>
      <c r="BE15" s="42">
        <f t="shared" si="15"/>
        <v>37.400000000000006</v>
      </c>
      <c r="BF15" s="42"/>
      <c r="BG15" s="42">
        <v>37.4</v>
      </c>
      <c r="BH15" s="42"/>
    </row>
    <row r="16" spans="1:60" s="26" customFormat="1" ht="39.75" customHeight="1">
      <c r="A16" s="41" t="s">
        <v>25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>
        <v>22</v>
      </c>
      <c r="AC16" s="42">
        <v>4</v>
      </c>
      <c r="AD16" s="42">
        <v>3</v>
      </c>
      <c r="AE16" s="42"/>
      <c r="AF16" s="42"/>
      <c r="AG16" s="42">
        <v>5</v>
      </c>
      <c r="AH16" s="42">
        <v>6</v>
      </c>
      <c r="AI16" s="42">
        <v>2</v>
      </c>
      <c r="AJ16" s="42"/>
      <c r="AK16" s="42"/>
      <c r="AL16" s="42"/>
      <c r="AM16" s="42"/>
      <c r="AN16" s="42"/>
      <c r="AO16" s="42"/>
      <c r="AP16" s="42">
        <f t="shared" si="2"/>
        <v>0</v>
      </c>
      <c r="AQ16" s="42">
        <f t="shared" si="3"/>
        <v>0</v>
      </c>
      <c r="AR16" s="42">
        <f t="shared" si="4"/>
        <v>0</v>
      </c>
      <c r="AS16" s="42">
        <f t="shared" si="5"/>
        <v>0</v>
      </c>
      <c r="AT16" s="42">
        <f t="shared" si="6"/>
        <v>0</v>
      </c>
      <c r="AU16" s="42">
        <f t="shared" si="7"/>
        <v>26</v>
      </c>
      <c r="AV16" s="42">
        <f t="shared" si="8"/>
        <v>11</v>
      </c>
      <c r="AW16" s="42">
        <f t="shared" si="9"/>
        <v>5.55</v>
      </c>
      <c r="AX16" s="42">
        <v>6.6</v>
      </c>
      <c r="AY16" s="42">
        <f>AW16-AX16</f>
        <v>-1.0499999999999998</v>
      </c>
      <c r="AZ16" s="42">
        <f t="shared" si="11"/>
        <v>5.55</v>
      </c>
      <c r="BA16" s="42"/>
      <c r="BB16" s="42">
        <f t="shared" si="12"/>
        <v>5.55</v>
      </c>
      <c r="BC16" s="42">
        <f t="shared" si="13"/>
        <v>22</v>
      </c>
      <c r="BD16" s="42">
        <f t="shared" si="14"/>
        <v>4.4</v>
      </c>
      <c r="BE16" s="42">
        <f t="shared" si="15"/>
        <v>8.9</v>
      </c>
      <c r="BF16" s="42"/>
      <c r="BG16" s="42">
        <v>8.9</v>
      </c>
      <c r="BH16" s="42"/>
    </row>
  </sheetData>
  <sheetProtection/>
  <mergeCells count="42">
    <mergeCell ref="A2:BH2"/>
    <mergeCell ref="BG3:BH3"/>
    <mergeCell ref="B4:N4"/>
    <mergeCell ref="O4:AA4"/>
    <mergeCell ref="AB4:AO4"/>
    <mergeCell ref="AP4:AR4"/>
    <mergeCell ref="AS4:AT4"/>
    <mergeCell ref="AU4:AY4"/>
    <mergeCell ref="AZ4:BB4"/>
    <mergeCell ref="BC4:BD4"/>
    <mergeCell ref="BF4:BH4"/>
    <mergeCell ref="B5:E5"/>
    <mergeCell ref="F5:I5"/>
    <mergeCell ref="J5:M5"/>
    <mergeCell ref="O5:R5"/>
    <mergeCell ref="S5:V5"/>
    <mergeCell ref="W5:Z5"/>
    <mergeCell ref="AB5:AF5"/>
    <mergeCell ref="AG5:AJ5"/>
    <mergeCell ref="AK5:AN5"/>
    <mergeCell ref="BG5:BH5"/>
    <mergeCell ref="A4:A7"/>
    <mergeCell ref="N5:N6"/>
    <mergeCell ref="AA5:AA6"/>
    <mergeCell ref="AO5:AO6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4:BE6"/>
    <mergeCell ref="BF5:BF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13.8515625" style="14" customWidth="1"/>
    <col min="2" max="16" width="4.57421875" style="14" customWidth="1"/>
    <col min="17" max="18" width="6.28125" style="14" customWidth="1"/>
    <col min="19" max="20" width="7.00390625" style="14" customWidth="1"/>
    <col min="21" max="21" width="5.421875" style="14" customWidth="1"/>
    <col min="22" max="23" width="7.28125" style="14" customWidth="1"/>
    <col min="24" max="25" width="6.28125" style="14" customWidth="1"/>
    <col min="26" max="27" width="7.8515625" style="14" customWidth="1"/>
    <col min="28" max="28" width="6.421875" style="14" customWidth="1"/>
    <col min="29" max="29" width="7.8515625" style="14" customWidth="1"/>
    <col min="30" max="16384" width="9.00390625" style="14" customWidth="1"/>
  </cols>
  <sheetData>
    <row r="1" s="14" customFormat="1" ht="13.5">
      <c r="A1" s="14" t="s">
        <v>158</v>
      </c>
    </row>
    <row r="2" spans="1:29" s="14" customFormat="1" ht="27">
      <c r="A2" s="17" t="s">
        <v>159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="14" customFormat="1" ht="13.5">
      <c r="AB3" s="14" t="s">
        <v>2</v>
      </c>
    </row>
    <row r="4" spans="1:29" s="14" customFormat="1" ht="53.25" customHeight="1">
      <c r="A4" s="18" t="s">
        <v>4</v>
      </c>
      <c r="B4" s="19" t="s">
        <v>28</v>
      </c>
      <c r="C4" s="20"/>
      <c r="D4" s="20"/>
      <c r="E4" s="20"/>
      <c r="F4" s="21"/>
      <c r="G4" s="19" t="s">
        <v>29</v>
      </c>
      <c r="H4" s="20"/>
      <c r="I4" s="20"/>
      <c r="J4" s="20"/>
      <c r="K4" s="21"/>
      <c r="L4" s="19" t="s">
        <v>30</v>
      </c>
      <c r="M4" s="20"/>
      <c r="N4" s="20"/>
      <c r="O4" s="20"/>
      <c r="P4" s="21"/>
      <c r="Q4" s="19" t="s">
        <v>31</v>
      </c>
      <c r="R4" s="21"/>
      <c r="S4" s="19" t="s">
        <v>32</v>
      </c>
      <c r="T4" s="21"/>
      <c r="U4" s="19" t="s">
        <v>33</v>
      </c>
      <c r="V4" s="20"/>
      <c r="W4" s="20"/>
      <c r="X4" s="21"/>
      <c r="Y4" s="19" t="s">
        <v>34</v>
      </c>
      <c r="Z4" s="21"/>
      <c r="AA4" s="18" t="s">
        <v>35</v>
      </c>
      <c r="AB4" s="19" t="s">
        <v>14</v>
      </c>
      <c r="AC4" s="21"/>
    </row>
    <row r="5" spans="1:29" s="15" customFormat="1" ht="72" customHeight="1">
      <c r="A5" s="22"/>
      <c r="B5" s="23" t="s">
        <v>36</v>
      </c>
      <c r="C5" s="23" t="s">
        <v>37</v>
      </c>
      <c r="D5" s="23" t="s">
        <v>38</v>
      </c>
      <c r="E5" s="23" t="s">
        <v>39</v>
      </c>
      <c r="F5" s="23" t="s">
        <v>84</v>
      </c>
      <c r="G5" s="23" t="s">
        <v>36</v>
      </c>
      <c r="H5" s="23" t="s">
        <v>37</v>
      </c>
      <c r="I5" s="23" t="s">
        <v>38</v>
      </c>
      <c r="J5" s="23" t="s">
        <v>39</v>
      </c>
      <c r="K5" s="23" t="s">
        <v>84</v>
      </c>
      <c r="L5" s="23" t="s">
        <v>36</v>
      </c>
      <c r="M5" s="23" t="s">
        <v>40</v>
      </c>
      <c r="N5" s="23" t="s">
        <v>38</v>
      </c>
      <c r="O5" s="23" t="s">
        <v>39</v>
      </c>
      <c r="P5" s="23" t="s">
        <v>84</v>
      </c>
      <c r="Q5" s="23" t="s">
        <v>41</v>
      </c>
      <c r="R5" s="23" t="s">
        <v>42</v>
      </c>
      <c r="S5" s="23" t="s">
        <v>43</v>
      </c>
      <c r="T5" s="23" t="s">
        <v>44</v>
      </c>
      <c r="U5" s="23" t="s">
        <v>41</v>
      </c>
      <c r="V5" s="23" t="s">
        <v>45</v>
      </c>
      <c r="W5" s="23" t="s">
        <v>46</v>
      </c>
      <c r="X5" s="23" t="s">
        <v>47</v>
      </c>
      <c r="Y5" s="23" t="s">
        <v>41</v>
      </c>
      <c r="Z5" s="23" t="s">
        <v>42</v>
      </c>
      <c r="AA5" s="24"/>
      <c r="AB5" s="23" t="s">
        <v>15</v>
      </c>
      <c r="AC5" s="23" t="s">
        <v>16</v>
      </c>
    </row>
    <row r="6" spans="1:29" s="15" customFormat="1" ht="51" customHeight="1">
      <c r="A6" s="24"/>
      <c r="B6" s="23" t="s">
        <v>48</v>
      </c>
      <c r="C6" s="23" t="s">
        <v>49</v>
      </c>
      <c r="D6" s="23" t="s">
        <v>50</v>
      </c>
      <c r="E6" s="23" t="s">
        <v>51</v>
      </c>
      <c r="F6" s="23" t="s">
        <v>52</v>
      </c>
      <c r="G6" s="23" t="s">
        <v>53</v>
      </c>
      <c r="H6" s="23" t="s">
        <v>54</v>
      </c>
      <c r="I6" s="23" t="s">
        <v>55</v>
      </c>
      <c r="J6" s="23" t="s">
        <v>56</v>
      </c>
      <c r="K6" s="23" t="s">
        <v>57</v>
      </c>
      <c r="L6" s="23" t="s">
        <v>58</v>
      </c>
      <c r="M6" s="23" t="s">
        <v>59</v>
      </c>
      <c r="N6" s="23" t="s">
        <v>85</v>
      </c>
      <c r="O6" s="23" t="s">
        <v>132</v>
      </c>
      <c r="P6" s="23" t="s">
        <v>133</v>
      </c>
      <c r="Q6" s="23" t="s">
        <v>160</v>
      </c>
      <c r="R6" s="23" t="s">
        <v>161</v>
      </c>
      <c r="S6" s="23" t="s">
        <v>162</v>
      </c>
      <c r="T6" s="23" t="s">
        <v>163</v>
      </c>
      <c r="U6" s="23" t="s">
        <v>164</v>
      </c>
      <c r="V6" s="23" t="s">
        <v>165</v>
      </c>
      <c r="W6" s="23" t="s">
        <v>138</v>
      </c>
      <c r="X6" s="23" t="s">
        <v>166</v>
      </c>
      <c r="Y6" s="23" t="s">
        <v>167</v>
      </c>
      <c r="Z6" s="23" t="s">
        <v>168</v>
      </c>
      <c r="AA6" s="23" t="s">
        <v>169</v>
      </c>
      <c r="AB6" s="23" t="s">
        <v>140</v>
      </c>
      <c r="AC6" s="23" t="s">
        <v>141</v>
      </c>
    </row>
    <row r="7" spans="1:29" s="16" customFormat="1" ht="30" customHeight="1">
      <c r="A7" s="25" t="s">
        <v>73</v>
      </c>
      <c r="B7" s="25">
        <f aca="true" t="shared" si="0" ref="B7:AC7">B8+B12+B13+B14+B15</f>
        <v>0</v>
      </c>
      <c r="C7" s="25">
        <f t="shared" si="0"/>
        <v>0</v>
      </c>
      <c r="D7" s="25">
        <f t="shared" si="0"/>
        <v>2</v>
      </c>
      <c r="E7" s="25">
        <f t="shared" si="0"/>
        <v>0</v>
      </c>
      <c r="F7" s="25">
        <f t="shared" si="0"/>
        <v>2</v>
      </c>
      <c r="G7" s="25">
        <f t="shared" si="0"/>
        <v>4</v>
      </c>
      <c r="H7" s="25">
        <f t="shared" si="0"/>
        <v>8</v>
      </c>
      <c r="I7" s="25">
        <f t="shared" si="0"/>
        <v>4</v>
      </c>
      <c r="J7" s="25">
        <f t="shared" si="0"/>
        <v>0</v>
      </c>
      <c r="K7" s="25">
        <f t="shared" si="0"/>
        <v>6</v>
      </c>
      <c r="L7" s="25">
        <f t="shared" si="0"/>
        <v>189</v>
      </c>
      <c r="M7" s="25">
        <f t="shared" si="0"/>
        <v>19</v>
      </c>
      <c r="N7" s="25">
        <f t="shared" si="0"/>
        <v>123</v>
      </c>
      <c r="O7" s="25">
        <f t="shared" si="0"/>
        <v>2</v>
      </c>
      <c r="P7" s="25">
        <f t="shared" si="0"/>
        <v>24</v>
      </c>
      <c r="Q7" s="25">
        <f t="shared" si="0"/>
        <v>12</v>
      </c>
      <c r="R7" s="25">
        <f t="shared" si="0"/>
        <v>2.16</v>
      </c>
      <c r="S7" s="25">
        <f t="shared" si="0"/>
        <v>-2</v>
      </c>
      <c r="T7" s="25">
        <f t="shared" si="0"/>
        <v>-0.2400000000000001</v>
      </c>
      <c r="U7" s="25">
        <f t="shared" si="0"/>
        <v>168</v>
      </c>
      <c r="V7" s="25">
        <f t="shared" si="0"/>
        <v>30.24</v>
      </c>
      <c r="W7" s="25">
        <f t="shared" si="0"/>
        <v>22.14</v>
      </c>
      <c r="X7" s="25">
        <f t="shared" si="0"/>
        <v>8.1</v>
      </c>
      <c r="Y7" s="25">
        <f t="shared" si="0"/>
        <v>168</v>
      </c>
      <c r="Z7" s="25">
        <f t="shared" si="0"/>
        <v>30.24</v>
      </c>
      <c r="AA7" s="25">
        <f t="shared" si="0"/>
        <v>40.25999999999999</v>
      </c>
      <c r="AB7" s="25">
        <f t="shared" si="0"/>
        <v>0</v>
      </c>
      <c r="AC7" s="25">
        <f t="shared" si="0"/>
        <v>40.26</v>
      </c>
    </row>
    <row r="8" spans="1:29" s="16" customFormat="1" ht="30" customHeight="1">
      <c r="A8" s="25" t="s">
        <v>74</v>
      </c>
      <c r="B8" s="25">
        <f aca="true" t="shared" si="1" ref="B8:AC8">SUM(B9:B11)</f>
        <v>0</v>
      </c>
      <c r="C8" s="25">
        <f t="shared" si="1"/>
        <v>0</v>
      </c>
      <c r="D8" s="25">
        <f t="shared" si="1"/>
        <v>0</v>
      </c>
      <c r="E8" s="25">
        <f t="shared" si="1"/>
        <v>0</v>
      </c>
      <c r="F8" s="25">
        <f t="shared" si="1"/>
        <v>0</v>
      </c>
      <c r="G8" s="25">
        <f t="shared" si="1"/>
        <v>3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25">
        <f t="shared" si="1"/>
        <v>187</v>
      </c>
      <c r="M8" s="25">
        <f t="shared" si="1"/>
        <v>0</v>
      </c>
      <c r="N8" s="25">
        <f t="shared" si="1"/>
        <v>0</v>
      </c>
      <c r="O8" s="25">
        <f t="shared" si="1"/>
        <v>0</v>
      </c>
      <c r="P8" s="25">
        <f t="shared" si="1"/>
        <v>0</v>
      </c>
      <c r="Q8" s="25">
        <f t="shared" si="1"/>
        <v>3</v>
      </c>
      <c r="R8" s="25">
        <f t="shared" si="1"/>
        <v>0.5399999999999999</v>
      </c>
      <c r="S8" s="25">
        <f t="shared" si="1"/>
        <v>3</v>
      </c>
      <c r="T8" s="25">
        <f t="shared" si="1"/>
        <v>0.36</v>
      </c>
      <c r="U8" s="25">
        <f t="shared" si="1"/>
        <v>0</v>
      </c>
      <c r="V8" s="25">
        <f t="shared" si="1"/>
        <v>0</v>
      </c>
      <c r="W8" s="25">
        <f t="shared" si="1"/>
        <v>0</v>
      </c>
      <c r="X8" s="25">
        <f t="shared" si="1"/>
        <v>0</v>
      </c>
      <c r="Y8" s="25">
        <f t="shared" si="1"/>
        <v>0</v>
      </c>
      <c r="Z8" s="25">
        <f t="shared" si="1"/>
        <v>0</v>
      </c>
      <c r="AA8" s="25">
        <f t="shared" si="1"/>
        <v>0.8999999999999999</v>
      </c>
      <c r="AB8" s="25">
        <f t="shared" si="1"/>
        <v>0</v>
      </c>
      <c r="AC8" s="25">
        <f t="shared" si="1"/>
        <v>0.9</v>
      </c>
    </row>
    <row r="9" spans="1:29" s="14" customFormat="1" ht="30" customHeight="1">
      <c r="A9" s="23" t="s">
        <v>170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>
        <v>90</v>
      </c>
      <c r="M9" s="23"/>
      <c r="N9" s="23"/>
      <c r="O9" s="23"/>
      <c r="P9" s="23"/>
      <c r="Q9" s="23">
        <f aca="true" t="shared" si="2" ref="Q9:Q15">B9+C9+E9+G9+H9+J9</f>
        <v>0</v>
      </c>
      <c r="R9" s="23">
        <f aca="true" t="shared" si="3" ref="R9:R15">Q9*0.3*0.6</f>
        <v>0</v>
      </c>
      <c r="S9" s="23">
        <f aca="true" t="shared" si="4" ref="S9:S15">B9+G9-D9-I9</f>
        <v>0</v>
      </c>
      <c r="T9" s="23">
        <f aca="true" t="shared" si="5" ref="T9:T15">S9*0.3*0.4</f>
        <v>0</v>
      </c>
      <c r="U9" s="23">
        <f aca="true" t="shared" si="6" ref="U9:U15">M9+N9+O9+P9</f>
        <v>0</v>
      </c>
      <c r="V9" s="23">
        <f aca="true" t="shared" si="7" ref="V9:V15">U9*0.3*0.6</f>
        <v>0</v>
      </c>
      <c r="W9" s="23"/>
      <c r="X9" s="23">
        <f aca="true" t="shared" si="8" ref="X9:X15">V9-W9</f>
        <v>0</v>
      </c>
      <c r="Y9" s="23">
        <f aca="true" t="shared" si="9" ref="Y9:Y15">U9</f>
        <v>0</v>
      </c>
      <c r="Z9" s="23">
        <f aca="true" t="shared" si="10" ref="Z9:Z15">Y9*0.3*0.6</f>
        <v>0</v>
      </c>
      <c r="AA9" s="23">
        <f aca="true" t="shared" si="11" ref="AA9:AA15">R9+T9+X9+Z9</f>
        <v>0</v>
      </c>
      <c r="AB9" s="23"/>
      <c r="AC9" s="23">
        <v>0</v>
      </c>
    </row>
    <row r="10" spans="1:29" s="14" customFormat="1" ht="30" customHeight="1">
      <c r="A10" s="23" t="s">
        <v>171</v>
      </c>
      <c r="B10" s="23"/>
      <c r="C10" s="23"/>
      <c r="D10" s="23"/>
      <c r="E10" s="23"/>
      <c r="F10" s="23"/>
      <c r="G10" s="23">
        <v>3</v>
      </c>
      <c r="H10" s="23"/>
      <c r="I10" s="23"/>
      <c r="J10" s="23"/>
      <c r="K10" s="23"/>
      <c r="L10" s="23">
        <v>92</v>
      </c>
      <c r="M10" s="23"/>
      <c r="N10" s="23"/>
      <c r="O10" s="23"/>
      <c r="P10" s="23"/>
      <c r="Q10" s="23">
        <f t="shared" si="2"/>
        <v>3</v>
      </c>
      <c r="R10" s="23">
        <f t="shared" si="3"/>
        <v>0.5399999999999999</v>
      </c>
      <c r="S10" s="23">
        <f t="shared" si="4"/>
        <v>3</v>
      </c>
      <c r="T10" s="23">
        <f t="shared" si="5"/>
        <v>0.36</v>
      </c>
      <c r="U10" s="23">
        <f t="shared" si="6"/>
        <v>0</v>
      </c>
      <c r="V10" s="23">
        <f t="shared" si="7"/>
        <v>0</v>
      </c>
      <c r="W10" s="23"/>
      <c r="X10" s="23">
        <f t="shared" si="8"/>
        <v>0</v>
      </c>
      <c r="Y10" s="23">
        <f t="shared" si="9"/>
        <v>0</v>
      </c>
      <c r="Z10" s="23">
        <f t="shared" si="10"/>
        <v>0</v>
      </c>
      <c r="AA10" s="23">
        <f t="shared" si="11"/>
        <v>0.8999999999999999</v>
      </c>
      <c r="AB10" s="23"/>
      <c r="AC10" s="23">
        <v>0.9</v>
      </c>
    </row>
    <row r="11" spans="1:29" s="14" customFormat="1" ht="30" customHeight="1">
      <c r="A11" s="23" t="s">
        <v>172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>
        <v>5</v>
      </c>
      <c r="M11" s="23"/>
      <c r="N11" s="23"/>
      <c r="O11" s="23"/>
      <c r="P11" s="23"/>
      <c r="Q11" s="23">
        <f t="shared" si="2"/>
        <v>0</v>
      </c>
      <c r="R11" s="23">
        <f t="shared" si="3"/>
        <v>0</v>
      </c>
      <c r="S11" s="23">
        <f t="shared" si="4"/>
        <v>0</v>
      </c>
      <c r="T11" s="23">
        <f t="shared" si="5"/>
        <v>0</v>
      </c>
      <c r="U11" s="23">
        <f t="shared" si="6"/>
        <v>0</v>
      </c>
      <c r="V11" s="23">
        <f t="shared" si="7"/>
        <v>0</v>
      </c>
      <c r="W11" s="23"/>
      <c r="X11" s="23">
        <f t="shared" si="8"/>
        <v>0</v>
      </c>
      <c r="Y11" s="23">
        <f t="shared" si="9"/>
        <v>0</v>
      </c>
      <c r="Z11" s="23">
        <f t="shared" si="10"/>
        <v>0</v>
      </c>
      <c r="AA11" s="23">
        <f t="shared" si="11"/>
        <v>0</v>
      </c>
      <c r="AB11" s="23"/>
      <c r="AC11" s="23">
        <v>0</v>
      </c>
    </row>
    <row r="12" spans="1:29" s="14" customFormat="1" ht="30" customHeight="1">
      <c r="A12" s="23" t="s">
        <v>22</v>
      </c>
      <c r="B12" s="23"/>
      <c r="C12" s="23"/>
      <c r="D12" s="23"/>
      <c r="E12" s="23"/>
      <c r="F12" s="23"/>
      <c r="G12" s="23"/>
      <c r="H12" s="23">
        <v>5</v>
      </c>
      <c r="I12" s="23">
        <v>1</v>
      </c>
      <c r="J12" s="23"/>
      <c r="K12" s="23">
        <v>1</v>
      </c>
      <c r="L12" s="23">
        <v>1</v>
      </c>
      <c r="M12" s="23">
        <v>5</v>
      </c>
      <c r="N12" s="23">
        <f>21+2</f>
        <v>23</v>
      </c>
      <c r="O12" s="23"/>
      <c r="P12" s="23">
        <v>1</v>
      </c>
      <c r="Q12" s="23">
        <f t="shared" si="2"/>
        <v>5</v>
      </c>
      <c r="R12" s="23">
        <f t="shared" si="3"/>
        <v>0.8999999999999999</v>
      </c>
      <c r="S12" s="23">
        <f t="shared" si="4"/>
        <v>-1</v>
      </c>
      <c r="T12" s="23">
        <f t="shared" si="5"/>
        <v>-0.12</v>
      </c>
      <c r="U12" s="23">
        <f t="shared" si="6"/>
        <v>29</v>
      </c>
      <c r="V12" s="23">
        <f t="shared" si="7"/>
        <v>5.22</v>
      </c>
      <c r="W12" s="23">
        <v>3.96</v>
      </c>
      <c r="X12" s="23">
        <f t="shared" si="8"/>
        <v>1.2599999999999998</v>
      </c>
      <c r="Y12" s="23">
        <f t="shared" si="9"/>
        <v>29</v>
      </c>
      <c r="Z12" s="23">
        <f t="shared" si="10"/>
        <v>5.22</v>
      </c>
      <c r="AA12" s="23">
        <f t="shared" si="11"/>
        <v>7.26</v>
      </c>
      <c r="AB12" s="23"/>
      <c r="AC12" s="23">
        <v>7.26</v>
      </c>
    </row>
    <row r="13" spans="1:29" s="14" customFormat="1" ht="30" customHeight="1">
      <c r="A13" s="23" t="s">
        <v>23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>
        <f t="shared" si="2"/>
        <v>0</v>
      </c>
      <c r="R13" s="23">
        <f t="shared" si="3"/>
        <v>0</v>
      </c>
      <c r="S13" s="23">
        <f t="shared" si="4"/>
        <v>0</v>
      </c>
      <c r="T13" s="23">
        <f t="shared" si="5"/>
        <v>0</v>
      </c>
      <c r="U13" s="23">
        <f t="shared" si="6"/>
        <v>0</v>
      </c>
      <c r="V13" s="23">
        <f t="shared" si="7"/>
        <v>0</v>
      </c>
      <c r="W13" s="23">
        <v>0</v>
      </c>
      <c r="X13" s="23">
        <f t="shared" si="8"/>
        <v>0</v>
      </c>
      <c r="Y13" s="23">
        <f t="shared" si="9"/>
        <v>0</v>
      </c>
      <c r="Z13" s="23">
        <f t="shared" si="10"/>
        <v>0</v>
      </c>
      <c r="AA13" s="23">
        <f t="shared" si="11"/>
        <v>0</v>
      </c>
      <c r="AB13" s="23"/>
      <c r="AC13" s="23">
        <v>0</v>
      </c>
    </row>
    <row r="14" spans="1:29" s="14" customFormat="1" ht="30" customHeight="1">
      <c r="A14" s="23" t="s">
        <v>24</v>
      </c>
      <c r="B14" s="23"/>
      <c r="C14" s="23"/>
      <c r="D14" s="23">
        <v>2</v>
      </c>
      <c r="E14" s="23"/>
      <c r="F14" s="23">
        <v>2</v>
      </c>
      <c r="G14" s="23"/>
      <c r="H14" s="23">
        <v>3</v>
      </c>
      <c r="I14" s="23">
        <f>1+2</f>
        <v>3</v>
      </c>
      <c r="J14" s="23"/>
      <c r="K14" s="23">
        <v>5</v>
      </c>
      <c r="L14" s="23">
        <v>1</v>
      </c>
      <c r="M14" s="23">
        <v>14</v>
      </c>
      <c r="N14" s="23">
        <f>91+8</f>
        <v>99</v>
      </c>
      <c r="O14" s="23">
        <v>2</v>
      </c>
      <c r="P14" s="23">
        <v>23</v>
      </c>
      <c r="Q14" s="23">
        <f t="shared" si="2"/>
        <v>3</v>
      </c>
      <c r="R14" s="23">
        <f t="shared" si="3"/>
        <v>0.5399999999999999</v>
      </c>
      <c r="S14" s="23">
        <f t="shared" si="4"/>
        <v>-5</v>
      </c>
      <c r="T14" s="23">
        <f t="shared" si="5"/>
        <v>-0.6000000000000001</v>
      </c>
      <c r="U14" s="23">
        <f t="shared" si="6"/>
        <v>138</v>
      </c>
      <c r="V14" s="23">
        <f t="shared" si="7"/>
        <v>24.84</v>
      </c>
      <c r="W14" s="23">
        <v>18.18</v>
      </c>
      <c r="X14" s="23">
        <f t="shared" si="8"/>
        <v>6.66</v>
      </c>
      <c r="Y14" s="23">
        <f t="shared" si="9"/>
        <v>138</v>
      </c>
      <c r="Z14" s="23">
        <f t="shared" si="10"/>
        <v>24.84</v>
      </c>
      <c r="AA14" s="23">
        <f t="shared" si="11"/>
        <v>31.439999999999998</v>
      </c>
      <c r="AB14" s="23"/>
      <c r="AC14" s="23">
        <v>31.44</v>
      </c>
    </row>
    <row r="15" spans="1:29" s="14" customFormat="1" ht="30" customHeight="1">
      <c r="A15" s="23" t="s">
        <v>25</v>
      </c>
      <c r="B15" s="23"/>
      <c r="C15" s="23"/>
      <c r="D15" s="23"/>
      <c r="E15" s="23"/>
      <c r="F15" s="23"/>
      <c r="G15" s="23">
        <v>1</v>
      </c>
      <c r="H15" s="23"/>
      <c r="I15" s="23"/>
      <c r="J15" s="23"/>
      <c r="K15" s="23"/>
      <c r="L15" s="23"/>
      <c r="M15" s="23"/>
      <c r="N15" s="23">
        <v>1</v>
      </c>
      <c r="O15" s="23"/>
      <c r="P15" s="23"/>
      <c r="Q15" s="23">
        <f t="shared" si="2"/>
        <v>1</v>
      </c>
      <c r="R15" s="23">
        <f t="shared" si="3"/>
        <v>0.18</v>
      </c>
      <c r="S15" s="23">
        <f t="shared" si="4"/>
        <v>1</v>
      </c>
      <c r="T15" s="23">
        <f t="shared" si="5"/>
        <v>0.12</v>
      </c>
      <c r="U15" s="23">
        <f t="shared" si="6"/>
        <v>1</v>
      </c>
      <c r="V15" s="23">
        <f t="shared" si="7"/>
        <v>0.18</v>
      </c>
      <c r="W15" s="23">
        <v>0</v>
      </c>
      <c r="X15" s="23">
        <f t="shared" si="8"/>
        <v>0.18</v>
      </c>
      <c r="Y15" s="23">
        <f t="shared" si="9"/>
        <v>1</v>
      </c>
      <c r="Z15" s="23">
        <f t="shared" si="10"/>
        <v>0.18</v>
      </c>
      <c r="AA15" s="23">
        <f t="shared" si="11"/>
        <v>0.6599999999999999</v>
      </c>
      <c r="AB15" s="23"/>
      <c r="AC15" s="23">
        <v>0.66</v>
      </c>
    </row>
  </sheetData>
  <sheetProtection/>
  <mergeCells count="11">
    <mergeCell ref="A2:AC2"/>
    <mergeCell ref="B4:F4"/>
    <mergeCell ref="G4:K4"/>
    <mergeCell ref="L4:P4"/>
    <mergeCell ref="Q4:R4"/>
    <mergeCell ref="S4:T4"/>
    <mergeCell ref="U4:X4"/>
    <mergeCell ref="Y4:Z4"/>
    <mergeCell ref="AB4:AC4"/>
    <mergeCell ref="A4:A6"/>
    <mergeCell ref="AA4:AA5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zoomScaleSheetLayoutView="100" workbookViewId="0" topLeftCell="A1">
      <selection activeCell="J14" sqref="J14"/>
    </sheetView>
  </sheetViews>
  <sheetFormatPr defaultColWidth="9.00390625" defaultRowHeight="15"/>
  <cols>
    <col min="1" max="1" width="9.00390625" style="1" customWidth="1"/>
    <col min="2" max="2" width="7.57421875" style="1" customWidth="1"/>
    <col min="3" max="3" width="7.7109375" style="1" customWidth="1"/>
    <col min="4" max="4" width="6.7109375" style="1" customWidth="1"/>
    <col min="5" max="5" width="7.28125" style="1" customWidth="1"/>
    <col min="6" max="6" width="7.421875" style="1" customWidth="1"/>
    <col min="7" max="7" width="6.57421875" style="1" customWidth="1"/>
    <col min="8" max="11" width="6.8515625" style="1" customWidth="1"/>
    <col min="12" max="12" width="6.7109375" style="1" customWidth="1"/>
    <col min="13" max="13" width="7.8515625" style="1" customWidth="1"/>
    <col min="14" max="15" width="6.7109375" style="1" customWidth="1"/>
    <col min="16" max="16" width="5.421875" style="1" customWidth="1"/>
    <col min="17" max="17" width="8.00390625" style="1" customWidth="1"/>
    <col min="18" max="18" width="6.00390625" style="1" customWidth="1"/>
    <col min="19" max="19" width="6.7109375" style="1" customWidth="1"/>
    <col min="20" max="20" width="8.421875" style="1" customWidth="1"/>
    <col min="21" max="21" width="7.140625" style="1" customWidth="1"/>
    <col min="22" max="22" width="9.00390625" style="1" customWidth="1"/>
    <col min="23" max="23" width="7.7109375" style="1" customWidth="1"/>
    <col min="24" max="24" width="7.8515625" style="1" customWidth="1"/>
    <col min="25" max="25" width="8.421875" style="1" customWidth="1"/>
    <col min="26" max="16384" width="9.00390625" style="1" customWidth="1"/>
  </cols>
  <sheetData>
    <row r="1" s="1" customFormat="1" ht="24.75" customHeight="1">
      <c r="A1" s="1" t="s">
        <v>173</v>
      </c>
    </row>
    <row r="2" spans="1:25" s="1" customFormat="1" ht="34.5" customHeight="1">
      <c r="A2" s="5" t="s">
        <v>174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="1" customFormat="1" ht="28.5" customHeight="1">
      <c r="X3" s="1" t="s">
        <v>2</v>
      </c>
    </row>
    <row r="4" spans="1:25" s="1" customFormat="1" ht="51.75" customHeight="1">
      <c r="A4" s="6" t="s">
        <v>4</v>
      </c>
      <c r="B4" s="7" t="s">
        <v>175</v>
      </c>
      <c r="C4" s="8"/>
      <c r="D4" s="8"/>
      <c r="E4" s="8"/>
      <c r="F4" s="8"/>
      <c r="G4" s="9"/>
      <c r="H4" s="7" t="s">
        <v>176</v>
      </c>
      <c r="I4" s="9"/>
      <c r="J4" s="7" t="s">
        <v>32</v>
      </c>
      <c r="K4" s="9"/>
      <c r="L4" s="7" t="s">
        <v>177</v>
      </c>
      <c r="M4" s="8"/>
      <c r="N4" s="8"/>
      <c r="O4" s="9"/>
      <c r="P4" s="7" t="s">
        <v>178</v>
      </c>
      <c r="Q4" s="8"/>
      <c r="R4" s="8"/>
      <c r="S4" s="9"/>
      <c r="T4" s="6" t="s">
        <v>179</v>
      </c>
      <c r="U4" s="7" t="s">
        <v>105</v>
      </c>
      <c r="V4" s="9"/>
      <c r="W4" s="6" t="s">
        <v>35</v>
      </c>
      <c r="X4" s="7" t="s">
        <v>14</v>
      </c>
      <c r="Y4" s="9"/>
    </row>
    <row r="5" spans="1:25" s="2" customFormat="1" ht="99.75" customHeight="1">
      <c r="A5" s="10"/>
      <c r="B5" s="11" t="s">
        <v>180</v>
      </c>
      <c r="C5" s="11" t="s">
        <v>181</v>
      </c>
      <c r="D5" s="11" t="s">
        <v>182</v>
      </c>
      <c r="E5" s="11" t="s">
        <v>183</v>
      </c>
      <c r="F5" s="11" t="s">
        <v>184</v>
      </c>
      <c r="G5" s="11" t="s">
        <v>185</v>
      </c>
      <c r="H5" s="11" t="s">
        <v>41</v>
      </c>
      <c r="I5" s="11" t="s">
        <v>42</v>
      </c>
      <c r="J5" s="11" t="s">
        <v>186</v>
      </c>
      <c r="K5" s="11" t="s">
        <v>44</v>
      </c>
      <c r="L5" s="11" t="s">
        <v>41</v>
      </c>
      <c r="M5" s="11" t="s">
        <v>45</v>
      </c>
      <c r="N5" s="11" t="s">
        <v>46</v>
      </c>
      <c r="O5" s="11" t="s">
        <v>47</v>
      </c>
      <c r="P5" s="11" t="s">
        <v>41</v>
      </c>
      <c r="Q5" s="11" t="s">
        <v>45</v>
      </c>
      <c r="R5" s="11" t="s">
        <v>46</v>
      </c>
      <c r="S5" s="11" t="s">
        <v>47</v>
      </c>
      <c r="T5" s="12"/>
      <c r="U5" s="11" t="s">
        <v>186</v>
      </c>
      <c r="V5" s="11" t="s">
        <v>44</v>
      </c>
      <c r="W5" s="12"/>
      <c r="X5" s="11" t="s">
        <v>15</v>
      </c>
      <c r="Y5" s="11" t="s">
        <v>16</v>
      </c>
    </row>
    <row r="6" spans="1:25" s="3" customFormat="1" ht="30" customHeight="1">
      <c r="A6" s="12"/>
      <c r="B6" s="11" t="s">
        <v>48</v>
      </c>
      <c r="C6" s="11" t="s">
        <v>49</v>
      </c>
      <c r="D6" s="11" t="s">
        <v>50</v>
      </c>
      <c r="E6" s="11" t="s">
        <v>51</v>
      </c>
      <c r="F6" s="11" t="s">
        <v>52</v>
      </c>
      <c r="G6" s="11" t="s">
        <v>53</v>
      </c>
      <c r="H6" s="11" t="s">
        <v>187</v>
      </c>
      <c r="I6" s="11" t="s">
        <v>188</v>
      </c>
      <c r="J6" s="11" t="s">
        <v>189</v>
      </c>
      <c r="K6" s="11" t="s">
        <v>190</v>
      </c>
      <c r="L6" s="11" t="s">
        <v>191</v>
      </c>
      <c r="M6" s="11" t="s">
        <v>192</v>
      </c>
      <c r="N6" s="11" t="s">
        <v>85</v>
      </c>
      <c r="O6" s="11" t="s">
        <v>193</v>
      </c>
      <c r="P6" s="11" t="s">
        <v>194</v>
      </c>
      <c r="Q6" s="11" t="s">
        <v>195</v>
      </c>
      <c r="R6" s="11" t="s">
        <v>135</v>
      </c>
      <c r="S6" s="11" t="s">
        <v>196</v>
      </c>
      <c r="T6" s="11" t="s">
        <v>197</v>
      </c>
      <c r="U6" s="11" t="s">
        <v>198</v>
      </c>
      <c r="V6" s="11" t="s">
        <v>199</v>
      </c>
      <c r="W6" s="11" t="s">
        <v>200</v>
      </c>
      <c r="X6" s="11" t="s">
        <v>139</v>
      </c>
      <c r="Y6" s="11" t="s">
        <v>71</v>
      </c>
    </row>
    <row r="7" spans="1:25" s="4" customFormat="1" ht="30" customHeight="1">
      <c r="A7" s="13" t="s">
        <v>73</v>
      </c>
      <c r="B7" s="13">
        <f aca="true" t="shared" si="0" ref="B7:Y7">SUM(B8:B12)</f>
        <v>0</v>
      </c>
      <c r="C7" s="13">
        <f t="shared" si="0"/>
        <v>1</v>
      </c>
      <c r="D7" s="13">
        <f t="shared" si="0"/>
        <v>10</v>
      </c>
      <c r="E7" s="13">
        <f t="shared" si="0"/>
        <v>5</v>
      </c>
      <c r="F7" s="13">
        <f t="shared" si="0"/>
        <v>10</v>
      </c>
      <c r="G7" s="13">
        <f t="shared" si="0"/>
        <v>252</v>
      </c>
      <c r="H7" s="13">
        <f t="shared" si="0"/>
        <v>1</v>
      </c>
      <c r="I7" s="13">
        <f t="shared" si="0"/>
        <v>0.72</v>
      </c>
      <c r="J7" s="13">
        <f t="shared" si="0"/>
        <v>-15</v>
      </c>
      <c r="K7" s="13">
        <f t="shared" si="0"/>
        <v>-7.199999999999999</v>
      </c>
      <c r="L7" s="13">
        <f t="shared" si="0"/>
        <v>262</v>
      </c>
      <c r="M7" s="13">
        <f t="shared" si="0"/>
        <v>110.03999999999999</v>
      </c>
      <c r="N7" s="13">
        <f t="shared" si="0"/>
        <v>76.02000000000001</v>
      </c>
      <c r="O7" s="13">
        <f t="shared" si="0"/>
        <v>34.01999999999998</v>
      </c>
      <c r="P7" s="13">
        <f t="shared" si="0"/>
        <v>10</v>
      </c>
      <c r="Q7" s="13">
        <f t="shared" si="0"/>
        <v>2.9999999999999996</v>
      </c>
      <c r="R7" s="13">
        <f t="shared" si="0"/>
        <v>5.4</v>
      </c>
      <c r="S7" s="13">
        <f t="shared" si="0"/>
        <v>-2.400000000000001</v>
      </c>
      <c r="T7" s="13">
        <f t="shared" si="0"/>
        <v>113.03999999999999</v>
      </c>
      <c r="U7" s="13">
        <f t="shared" si="0"/>
        <v>-252</v>
      </c>
      <c r="V7" s="13">
        <f t="shared" si="0"/>
        <v>-10.080000000000002</v>
      </c>
      <c r="W7" s="13">
        <f t="shared" si="0"/>
        <v>128.09999999999997</v>
      </c>
      <c r="X7" s="13">
        <f t="shared" si="0"/>
        <v>-0.84</v>
      </c>
      <c r="Y7" s="13">
        <f t="shared" si="0"/>
        <v>128.93999999999997</v>
      </c>
    </row>
    <row r="8" spans="1:25" s="4" customFormat="1" ht="30" customHeight="1">
      <c r="A8" s="13" t="s">
        <v>21</v>
      </c>
      <c r="B8" s="13"/>
      <c r="C8" s="13"/>
      <c r="D8" s="13"/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/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/>
    </row>
    <row r="9" spans="1:25" s="1" customFormat="1" ht="30" customHeight="1">
      <c r="A9" s="11" t="s">
        <v>22</v>
      </c>
      <c r="B9" s="11"/>
      <c r="C9" s="11"/>
      <c r="D9" s="11"/>
      <c r="E9" s="11">
        <v>2</v>
      </c>
      <c r="F9" s="11">
        <v>3</v>
      </c>
      <c r="G9" s="11">
        <v>31</v>
      </c>
      <c r="H9" s="11">
        <f aca="true" t="shared" si="1" ref="H9:H12">B9+C9</f>
        <v>0</v>
      </c>
      <c r="I9" s="11">
        <f aca="true" t="shared" si="2" ref="I9:I12">H9*1.2*0.6</f>
        <v>0</v>
      </c>
      <c r="J9" s="11">
        <f aca="true" t="shared" si="3" ref="J9:J12">-E9-F9</f>
        <v>-5</v>
      </c>
      <c r="K9" s="11">
        <f aca="true" t="shared" si="4" ref="K9:K12">J9*1.2*0.4</f>
        <v>-2.4000000000000004</v>
      </c>
      <c r="L9" s="11">
        <f aca="true" t="shared" si="5" ref="L9:L12">D9+G9</f>
        <v>31</v>
      </c>
      <c r="M9" s="11">
        <f aca="true" t="shared" si="6" ref="M9:M12">L9*0.7*0.6</f>
        <v>13.02</v>
      </c>
      <c r="N9" s="11">
        <v>10.5</v>
      </c>
      <c r="O9" s="11">
        <f aca="true" t="shared" si="7" ref="O9:O12">M9-N9</f>
        <v>2.5199999999999996</v>
      </c>
      <c r="P9" s="11">
        <f aca="true" t="shared" si="8" ref="P9:P12">D9</f>
        <v>0</v>
      </c>
      <c r="Q9" s="11">
        <f aca="true" t="shared" si="9" ref="Q9:Q12">P9*0.5*0.6</f>
        <v>0</v>
      </c>
      <c r="R9" s="11"/>
      <c r="S9" s="11">
        <f aca="true" t="shared" si="10" ref="S9:S12">Q9-R9</f>
        <v>0</v>
      </c>
      <c r="T9" s="11">
        <f aca="true" t="shared" si="11" ref="T9:T12">M9+Q9</f>
        <v>13.02</v>
      </c>
      <c r="U9" s="11">
        <f aca="true" t="shared" si="12" ref="U9:U12">-G9</f>
        <v>-31</v>
      </c>
      <c r="V9" s="11">
        <f aca="true" t="shared" si="13" ref="V9:V12">U9*0.5*0.4*0.2</f>
        <v>-1.2400000000000002</v>
      </c>
      <c r="W9" s="11">
        <f aca="true" t="shared" si="14" ref="W9:W12">I9+K9+O9+S9+T9+V9</f>
        <v>11.899999999999999</v>
      </c>
      <c r="X9" s="11"/>
      <c r="Y9" s="11">
        <f>W9</f>
        <v>11.899999999999999</v>
      </c>
    </row>
    <row r="10" spans="1:25" s="1" customFormat="1" ht="30" customHeight="1">
      <c r="A10" s="11" t="s">
        <v>23</v>
      </c>
      <c r="B10" s="11"/>
      <c r="C10" s="11"/>
      <c r="D10" s="11"/>
      <c r="E10" s="11"/>
      <c r="F10" s="11"/>
      <c r="G10" s="11"/>
      <c r="H10" s="11">
        <f t="shared" si="1"/>
        <v>0</v>
      </c>
      <c r="I10" s="11">
        <f t="shared" si="2"/>
        <v>0</v>
      </c>
      <c r="J10" s="11">
        <f t="shared" si="3"/>
        <v>0</v>
      </c>
      <c r="K10" s="11">
        <f t="shared" si="4"/>
        <v>0</v>
      </c>
      <c r="L10" s="11">
        <f t="shared" si="5"/>
        <v>0</v>
      </c>
      <c r="M10" s="11">
        <f t="shared" si="6"/>
        <v>0</v>
      </c>
      <c r="N10" s="11">
        <v>0</v>
      </c>
      <c r="O10" s="11">
        <f t="shared" si="7"/>
        <v>0</v>
      </c>
      <c r="P10" s="11">
        <f t="shared" si="8"/>
        <v>0</v>
      </c>
      <c r="Q10" s="11">
        <f t="shared" si="9"/>
        <v>0</v>
      </c>
      <c r="R10" s="11"/>
      <c r="S10" s="11">
        <f t="shared" si="10"/>
        <v>0</v>
      </c>
      <c r="T10" s="11">
        <f t="shared" si="11"/>
        <v>0</v>
      </c>
      <c r="U10" s="11">
        <f t="shared" si="12"/>
        <v>0</v>
      </c>
      <c r="V10" s="11">
        <f>U10*0.5*0.4*2</f>
        <v>0</v>
      </c>
      <c r="W10" s="11">
        <f t="shared" si="14"/>
        <v>0</v>
      </c>
      <c r="X10" s="11"/>
      <c r="Y10" s="11">
        <v>0</v>
      </c>
    </row>
    <row r="11" spans="1:25" s="1" customFormat="1" ht="30" customHeight="1">
      <c r="A11" s="11" t="s">
        <v>24</v>
      </c>
      <c r="B11" s="11"/>
      <c r="C11" s="11">
        <v>1</v>
      </c>
      <c r="D11" s="11">
        <v>9</v>
      </c>
      <c r="E11" s="11">
        <v>2</v>
      </c>
      <c r="F11" s="11">
        <v>7</v>
      </c>
      <c r="G11" s="11">
        <v>211</v>
      </c>
      <c r="H11" s="11">
        <f t="shared" si="1"/>
        <v>1</v>
      </c>
      <c r="I11" s="11">
        <f t="shared" si="2"/>
        <v>0.72</v>
      </c>
      <c r="J11" s="11">
        <f t="shared" si="3"/>
        <v>-9</v>
      </c>
      <c r="K11" s="11">
        <f t="shared" si="4"/>
        <v>-4.319999999999999</v>
      </c>
      <c r="L11" s="11">
        <f t="shared" si="5"/>
        <v>220</v>
      </c>
      <c r="M11" s="11">
        <f t="shared" si="6"/>
        <v>92.39999999999999</v>
      </c>
      <c r="N11" s="11">
        <v>64.26</v>
      </c>
      <c r="O11" s="11">
        <f t="shared" si="7"/>
        <v>28.139999999999986</v>
      </c>
      <c r="P11" s="11">
        <f t="shared" si="8"/>
        <v>9</v>
      </c>
      <c r="Q11" s="11">
        <f t="shared" si="9"/>
        <v>2.6999999999999997</v>
      </c>
      <c r="R11" s="11">
        <v>5.4</v>
      </c>
      <c r="S11" s="11">
        <f t="shared" si="10"/>
        <v>-2.7000000000000006</v>
      </c>
      <c r="T11" s="11">
        <f t="shared" si="11"/>
        <v>95.1</v>
      </c>
      <c r="U11" s="11">
        <f t="shared" si="12"/>
        <v>-211</v>
      </c>
      <c r="V11" s="11">
        <f t="shared" si="13"/>
        <v>-8.440000000000001</v>
      </c>
      <c r="W11" s="11">
        <f t="shared" si="14"/>
        <v>108.49999999999999</v>
      </c>
      <c r="X11" s="11">
        <v>-0.84</v>
      </c>
      <c r="Y11" s="11">
        <f>W11+0.84</f>
        <v>109.33999999999999</v>
      </c>
    </row>
    <row r="12" spans="1:25" s="1" customFormat="1" ht="30" customHeight="1">
      <c r="A12" s="11" t="s">
        <v>25</v>
      </c>
      <c r="B12" s="11"/>
      <c r="C12" s="11"/>
      <c r="D12" s="11">
        <v>1</v>
      </c>
      <c r="E12" s="11">
        <v>1</v>
      </c>
      <c r="F12" s="11"/>
      <c r="G12" s="11">
        <v>10</v>
      </c>
      <c r="H12" s="11">
        <f t="shared" si="1"/>
        <v>0</v>
      </c>
      <c r="I12" s="11">
        <f t="shared" si="2"/>
        <v>0</v>
      </c>
      <c r="J12" s="11">
        <f t="shared" si="3"/>
        <v>-1</v>
      </c>
      <c r="K12" s="11">
        <f t="shared" si="4"/>
        <v>-0.48</v>
      </c>
      <c r="L12" s="11">
        <f t="shared" si="5"/>
        <v>11</v>
      </c>
      <c r="M12" s="11">
        <f t="shared" si="6"/>
        <v>4.619999999999999</v>
      </c>
      <c r="N12" s="11">
        <v>1.26</v>
      </c>
      <c r="O12" s="11">
        <f t="shared" si="7"/>
        <v>3.3599999999999994</v>
      </c>
      <c r="P12" s="11">
        <f t="shared" si="8"/>
        <v>1</v>
      </c>
      <c r="Q12" s="11">
        <f t="shared" si="9"/>
        <v>0.3</v>
      </c>
      <c r="R12" s="11">
        <v>0</v>
      </c>
      <c r="S12" s="11">
        <f t="shared" si="10"/>
        <v>0.3</v>
      </c>
      <c r="T12" s="11">
        <f t="shared" si="11"/>
        <v>4.919999999999999</v>
      </c>
      <c r="U12" s="11">
        <f t="shared" si="12"/>
        <v>-10</v>
      </c>
      <c r="V12" s="11">
        <f t="shared" si="13"/>
        <v>-0.4</v>
      </c>
      <c r="W12" s="11">
        <f t="shared" si="14"/>
        <v>7.6999999999999975</v>
      </c>
      <c r="X12" s="11"/>
      <c r="Y12" s="11">
        <f>W12</f>
        <v>7.6999999999999975</v>
      </c>
    </row>
  </sheetData>
  <sheetProtection/>
  <mergeCells count="11">
    <mergeCell ref="A2:Y2"/>
    <mergeCell ref="B4:G4"/>
    <mergeCell ref="H4:I4"/>
    <mergeCell ref="J4:K4"/>
    <mergeCell ref="L4:O4"/>
    <mergeCell ref="P4:S4"/>
    <mergeCell ref="U4:V4"/>
    <mergeCell ref="X4:Y4"/>
    <mergeCell ref="A4:A6"/>
    <mergeCell ref="T4:T5"/>
    <mergeCell ref="W4:W5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财政局</dc:creator>
  <cp:keywords/>
  <dc:description/>
  <cp:lastModifiedBy>财政局</cp:lastModifiedBy>
  <dcterms:created xsi:type="dcterms:W3CDTF">2019-01-04T07:11:14Z</dcterms:created>
  <dcterms:modified xsi:type="dcterms:W3CDTF">2019-01-04T08:04:46Z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